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45" yWindow="65521" windowWidth="9405" windowHeight="12990" tabRatio="774" activeTab="0"/>
  </bookViews>
  <sheets>
    <sheet name="Talzone" sheetId="1" r:id="rId1"/>
  </sheets>
  <definedNames>
    <definedName name="Ackerfläche">'Talzone'!$C$17</definedName>
    <definedName name="Dauer">#REF!</definedName>
    <definedName name="Dauergründland_plus_Streuefläche">'Talzone'!$D$18</definedName>
    <definedName name="Dauergrünland">'Talzone'!$B$14</definedName>
    <definedName name="DGVE">'Talzone'!$B$29</definedName>
    <definedName name="_xlnm.Print_Area" localSheetId="0">'Talzone'!$A$2:$V$219</definedName>
    <definedName name="Extensivweide">'Talzone'!$G$51</definedName>
    <definedName name="intensiv_Grünland_u_Kunstwiese">'Talzone'!$B$14-'Talzone'!$G$72+'Talzone'!$B$16</definedName>
    <definedName name="LN">'Talzone'!$B$13</definedName>
    <definedName name="Nutzungsparzellen">'Talzone'!$B$33</definedName>
    <definedName name="öAF_mit_Bäumen">#REF!</definedName>
    <definedName name="öAF_ohne_Bäume">'Talzone'!$G$63</definedName>
    <definedName name="offene_Ackerfläche">'Talzone'!$B$15</definedName>
    <definedName name="Streuefläche">'Talzone'!$G$57</definedName>
    <definedName name="Z_2515DDB7_9BA3_48FA_88DC_CCB335C94A34_.wvu.Cols" localSheetId="0" hidden="1">'Talzone'!$N:$N</definedName>
    <definedName name="Z_2515DDB7_9BA3_48FA_88DC_CCB335C94A34_.wvu.PrintArea" localSheetId="0" hidden="1">'Talzone'!$A$2:$V$215</definedName>
    <definedName name="Z_2515DDB7_9BA3_48FA_88DC_CCB335C94A34_.wvu.Rows" localSheetId="0" hidden="1">'Talzone'!$28:$31,'Talzone'!$163:$164,'Talzone'!$208:$214</definedName>
  </definedNames>
  <calcPr fullCalcOnLoad="1"/>
</workbook>
</file>

<file path=xl/comments1.xml><?xml version="1.0" encoding="utf-8"?>
<comments xmlns="http://schemas.openxmlformats.org/spreadsheetml/2006/main">
  <authors>
    <author>Simon Birrer</author>
  </authors>
  <commentList>
    <comment ref="B29" authorId="0">
      <text>
        <r>
          <rPr>
            <b/>
            <sz val="10"/>
            <rFont val="Tahoma"/>
            <family val="0"/>
          </rPr>
          <t>in Grundeinstellung auf 9999 stellen</t>
        </r>
      </text>
    </comment>
    <comment ref="Y1" authorId="0">
      <text>
        <r>
          <rPr>
            <b/>
            <sz val="12"/>
            <rFont val="Tahoma"/>
            <family val="0"/>
          </rPr>
          <t>zur Zeit nicht aktiv: 
falls 1 
 missachtet</t>
        </r>
      </text>
    </comment>
    <comment ref="G72" authorId="0">
      <text>
        <r>
          <rPr>
            <sz val="10"/>
            <rFont val="Tahoma"/>
            <family val="2"/>
          </rPr>
          <t>wird von 12.1 genutzt</t>
        </r>
      </text>
    </comment>
  </commentList>
</comments>
</file>

<file path=xl/sharedStrings.xml><?xml version="1.0" encoding="utf-8"?>
<sst xmlns="http://schemas.openxmlformats.org/spreadsheetml/2006/main" count="356" uniqueCount="223">
  <si>
    <t>DGVE/ha</t>
  </si>
  <si>
    <t>durchschnittliche Grösse</t>
  </si>
  <si>
    <t>è</t>
  </si>
  <si>
    <t>der LN</t>
  </si>
  <si>
    <t>Gesamtpunktzahl</t>
  </si>
  <si>
    <t>Lineare Punkte</t>
  </si>
  <si>
    <t>Gesamtpunktzahl:</t>
  </si>
  <si>
    <t>23-28 Pkt. = Klasse 1</t>
  </si>
  <si>
    <t>28-33 Pkt. = Klasse 2</t>
  </si>
  <si>
    <t>&gt;34 Pkt. =    Klasse 3</t>
  </si>
  <si>
    <t>DGVE/ha:</t>
  </si>
  <si>
    <t>Nutzungstypen</t>
  </si>
  <si>
    <t>% der LN:</t>
  </si>
  <si>
    <t>Punkte</t>
  </si>
  <si>
    <t>1 Pkt.</t>
  </si>
  <si>
    <t>2 Pkt.</t>
  </si>
  <si>
    <t>3 Pkt.</t>
  </si>
  <si>
    <t>4 Pkt.</t>
  </si>
  <si>
    <t>5 Pkt.</t>
  </si>
  <si>
    <t>Einheit</t>
  </si>
  <si>
    <t>0.5 Pkt.</t>
  </si>
  <si>
    <t>1.5 Pkt.</t>
  </si>
  <si>
    <t>6 Pkt.</t>
  </si>
  <si>
    <t>Punkte gemäss gutachterlicher Bewertung der Berater</t>
  </si>
  <si>
    <t>m/ha Extensivweiden</t>
  </si>
  <si>
    <t>m</t>
  </si>
  <si>
    <t>m/ha Intensivweiden</t>
  </si>
  <si>
    <t>Teilpunkte bezogen auf LN</t>
  </si>
  <si>
    <t>DGVE total</t>
  </si>
  <si>
    <r>
      <t>grossflächige</t>
    </r>
    <r>
      <rPr>
        <sz val="11"/>
        <rFont val="Arial Narrow"/>
        <family val="2"/>
      </rPr>
      <t xml:space="preserve"> Ökoflächen pro 20 ha Ackerfläche</t>
    </r>
  </si>
  <si>
    <t>nicht Ackerfläche</t>
  </si>
  <si>
    <r>
      <t>grossflächige</t>
    </r>
    <r>
      <rPr>
        <sz val="11"/>
        <rFont val="Arial Narrow"/>
        <family val="2"/>
      </rPr>
      <t xml:space="preserve"> Ökoflächen pro 20 ha Dauergrünland oder Streueflächen</t>
    </r>
  </si>
  <si>
    <t>2.5 Pkt.</t>
  </si>
  <si>
    <t>angemeldet</t>
  </si>
  <si>
    <t>Qualität</t>
  </si>
  <si>
    <t>in % der LN</t>
  </si>
  <si>
    <t>1.1.1</t>
  </si>
  <si>
    <t>1.1.2</t>
  </si>
  <si>
    <t>1.1.3</t>
  </si>
  <si>
    <t>Landwirtschaftlich Nutzfläche, davon:</t>
  </si>
  <si>
    <t>Dauergrünland</t>
  </si>
  <si>
    <t>offene Ackerfläche</t>
  </si>
  <si>
    <t>Kunstwiesen</t>
  </si>
  <si>
    <t>1.1.4</t>
  </si>
  <si>
    <t>Betriebsgrösse</t>
  </si>
  <si>
    <t>Viehbesatz</t>
  </si>
  <si>
    <r>
      <t>Nutzungsparzellen</t>
    </r>
    <r>
      <rPr>
        <b/>
        <sz val="11"/>
        <rFont val="Arial Narrow"/>
        <family val="2"/>
      </rPr>
      <t xml:space="preserve"> </t>
    </r>
  </si>
  <si>
    <t>5.10</t>
  </si>
  <si>
    <t>5.11</t>
  </si>
  <si>
    <t>5.12</t>
  </si>
  <si>
    <t>extensive Wiesen</t>
  </si>
  <si>
    <t>wenig intensive Wiesen</t>
  </si>
  <si>
    <t>Buntbrachen</t>
  </si>
  <si>
    <t>Rotationsbrachen</t>
  </si>
  <si>
    <t>Ackerschonstreifen</t>
  </si>
  <si>
    <t>Hecken, Feld- und Ufergehölze</t>
  </si>
  <si>
    <t>Streueflächen</t>
  </si>
  <si>
    <t>übrige Typen</t>
  </si>
  <si>
    <t>% auf Ackerflächen</t>
  </si>
  <si>
    <t>5.14.1</t>
  </si>
  <si>
    <t>5.15.1</t>
  </si>
  <si>
    <t>% auf Dauergrünland/Streueflächen</t>
  </si>
  <si>
    <t>5.16.1</t>
  </si>
  <si>
    <r>
      <t>Weite Reihe im Getreide</t>
    </r>
    <r>
      <rPr>
        <sz val="11"/>
        <rFont val="Arial Narrow"/>
        <family val="2"/>
      </rPr>
      <t xml:space="preserve"> (2  Reihen ungedrillt)</t>
    </r>
  </si>
  <si>
    <t>Anbau Sommergetreide</t>
  </si>
  <si>
    <r>
      <t>Doppelzäune</t>
    </r>
    <r>
      <rPr>
        <sz val="11"/>
        <rFont val="Arial Narrow"/>
        <family val="2"/>
      </rPr>
      <t xml:space="preserve"> mit Abstand 2 m in extensiv genutzten Weiden </t>
    </r>
  </si>
  <si>
    <t>vom Dauergrünland &amp; Streuefläche</t>
  </si>
  <si>
    <t>%</t>
  </si>
  <si>
    <t>Waldrand</t>
  </si>
  <si>
    <t>spezifische Massnahmen für Zielarten</t>
  </si>
  <si>
    <t>der offenen Ackerflächen</t>
  </si>
  <si>
    <t>m/ha</t>
  </si>
  <si>
    <t>12.1.1</t>
  </si>
  <si>
    <t>12.1.2</t>
  </si>
  <si>
    <t>des Intensivgrünlands</t>
  </si>
  <si>
    <t>Intensivweide</t>
  </si>
  <si>
    <t>Einsatz Balkenmäher</t>
  </si>
  <si>
    <t>Massnahmen auf Ackerflächen</t>
  </si>
  <si>
    <t xml:space="preserve">Verzicht auf Silage </t>
  </si>
  <si>
    <t>12.2.2</t>
  </si>
  <si>
    <t>Düngung des intensiv genutzten Grünlands nur mit organischem Dünger</t>
  </si>
  <si>
    <t>Waldrand aufgewertet (Länge)</t>
  </si>
  <si>
    <t>5.13.1</t>
  </si>
  <si>
    <t>offene Ackerfläche an LN:</t>
  </si>
  <si>
    <t>Anteil Grünland&amp;Streuefläche an LN:</t>
  </si>
  <si>
    <t xml:space="preserve">Doppelzäune mit Abstand 2 m in Intensivweiden </t>
  </si>
  <si>
    <t>Genetische Vielfalt</t>
  </si>
  <si>
    <t>alte/gefährdete Tierrassen</t>
  </si>
  <si>
    <t>der DGVE</t>
  </si>
  <si>
    <t>alte, regionaltypische, gefährdete und/oder resistente Obst-, Gemüse- oder Getreidesorten</t>
  </si>
  <si>
    <t>Grünland_plus_Streueland</t>
  </si>
  <si>
    <t>Punkte Ressourcenschutz</t>
  </si>
  <si>
    <t>16.1.1</t>
  </si>
  <si>
    <t>nein</t>
  </si>
  <si>
    <t>16.1.2</t>
  </si>
  <si>
    <t xml:space="preserve">    Empfehlungen von Agroscope ALP</t>
  </si>
  <si>
    <t>ja/nein</t>
  </si>
  <si>
    <t>Standard N-Ausnutzungsgrad des Hofdünger-N in der Suisse-Bilanz</t>
  </si>
  <si>
    <t>1.2</t>
  </si>
  <si>
    <t>LN in Tal- und Hügelzone</t>
  </si>
  <si>
    <t>1.2.1</t>
  </si>
  <si>
    <t>1.2.2</t>
  </si>
  <si>
    <t>LN in Bergzone I</t>
  </si>
  <si>
    <t>LN in Bergzone II-IV</t>
  </si>
  <si>
    <t>6.1.1</t>
  </si>
  <si>
    <t>6.1.2</t>
  </si>
  <si>
    <t xml:space="preserve">    zusätzlich zu 16.1 alle Laufhöfe mit </t>
  </si>
  <si>
    <t xml:space="preserve">% </t>
  </si>
  <si>
    <t>pro 20 ha</t>
  </si>
  <si>
    <t>Bäume als Fläche</t>
  </si>
  <si>
    <t>nicht</t>
  </si>
  <si>
    <t>mit ÖQV-</t>
  </si>
  <si>
    <t>mit Projekt</t>
  </si>
  <si>
    <t>Fragebogen für Betriebe im Talgebiet (Tal- und Hügelzone)</t>
  </si>
  <si>
    <r>
      <t xml:space="preserve">Massnahmen im intensiv genutzten Grünland </t>
    </r>
    <r>
      <rPr>
        <sz val="11"/>
        <rFont val="Arial Narrow"/>
        <family val="2"/>
      </rPr>
      <t>(Dauergrünland, Kunstwiesen)</t>
    </r>
  </si>
  <si>
    <t>Talgebiet (Tal- und Hügelzone)</t>
  </si>
  <si>
    <r>
      <t>räumliche Verteilung</t>
    </r>
    <r>
      <rPr>
        <b/>
        <sz val="11"/>
        <rFont val="Arial Narrow"/>
        <family val="2"/>
      </rPr>
      <t xml:space="preserve"> der Ökoflächen </t>
    </r>
  </si>
  <si>
    <t>10.9</t>
  </si>
  <si>
    <r>
      <t>Verzicht auf Herbizide</t>
    </r>
    <r>
      <rPr>
        <sz val="11"/>
        <rFont val="Arial Narrow"/>
        <family val="2"/>
      </rPr>
      <t xml:space="preserve"> im Ackerbau</t>
    </r>
  </si>
  <si>
    <r>
      <t xml:space="preserve">der </t>
    </r>
    <r>
      <rPr>
        <i/>
        <sz val="11"/>
        <rFont val="Arial Narrow"/>
        <family val="2"/>
      </rPr>
      <t>Gülle mit Schleppschlauch</t>
    </r>
    <r>
      <rPr>
        <sz val="11"/>
        <rFont val="Arial Narrow"/>
        <family val="2"/>
      </rPr>
      <t xml:space="preserve"> verteilt</t>
    </r>
  </si>
  <si>
    <r>
      <t xml:space="preserve">    zusätzlich zu 16.1 alle </t>
    </r>
    <r>
      <rPr>
        <i/>
        <sz val="11"/>
        <rFont val="Arial Narrow"/>
        <family val="2"/>
      </rPr>
      <t>Güllelager mit fester Abdeckung</t>
    </r>
    <r>
      <rPr>
        <sz val="11"/>
        <rFont val="Arial Narrow"/>
        <family val="2"/>
      </rPr>
      <t xml:space="preserve"> (ja / nein)</t>
    </r>
  </si>
  <si>
    <r>
      <t xml:space="preserve">    </t>
    </r>
    <r>
      <rPr>
        <i/>
        <sz val="11"/>
        <rFont val="Arial Narrow"/>
        <family val="2"/>
      </rPr>
      <t>perforiertem Boden und Windschutzvorrichtungen</t>
    </r>
    <r>
      <rPr>
        <sz val="11"/>
        <rFont val="Arial Narrow"/>
        <family val="2"/>
      </rPr>
      <t xml:space="preserve"> (ja / nein)</t>
    </r>
  </si>
  <si>
    <r>
      <t xml:space="preserve">    </t>
    </r>
    <r>
      <rPr>
        <i/>
        <sz val="11"/>
        <rFont val="Arial Narrow"/>
        <family val="2"/>
      </rPr>
      <t>RP-Gehalt des Schweinefutters</t>
    </r>
    <r>
      <rPr>
        <sz val="11"/>
        <rFont val="Arial Narrow"/>
        <family val="2"/>
      </rPr>
      <t xml:space="preserve"> max. gemäss </t>
    </r>
  </si>
  <si>
    <t>10.8</t>
  </si>
  <si>
    <t>Punkte Betrieb und ökologischer Ausgleich</t>
  </si>
  <si>
    <t>ökologischer Ausgleich</t>
  </si>
  <si>
    <t>Grünland</t>
  </si>
  <si>
    <t>spezielle Massnahmen Biodiversität</t>
  </si>
  <si>
    <t>A. Angaben zum Betrieb</t>
  </si>
  <si>
    <t>B. Biodiversität</t>
  </si>
  <si>
    <t>C. Ressourcenschutz</t>
  </si>
  <si>
    <t xml:space="preserve">Punkte spezielle Massnahmen Biodiversität </t>
  </si>
  <si>
    <t>Punkte Biodiversität Total</t>
  </si>
  <si>
    <r>
      <t>Klee/Gras-Untersaat</t>
    </r>
    <r>
      <rPr>
        <sz val="11"/>
        <rFont val="Arial Narrow"/>
        <family val="2"/>
      </rPr>
      <t xml:space="preserve"> im Getreide</t>
    </r>
  </si>
  <si>
    <t>Aufwertungsmassnahmen auf Produktionsflächen</t>
  </si>
  <si>
    <t>Punktesystem – Förderung der Nachhaltigkeit (Biodiversität, Ressourcenschutz) auf Landwirtschaftsbetrieben</t>
  </si>
  <si>
    <r>
      <t xml:space="preserve">gelbe Felder: bitte ausfüllen; </t>
    </r>
    <r>
      <rPr>
        <i/>
        <sz val="10"/>
        <rFont val="Arial Narrow"/>
        <family val="2"/>
      </rPr>
      <t>kursive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Begriffe:</t>
    </r>
    <r>
      <rPr>
        <sz val="10"/>
        <rFont val="Arial Narrow"/>
        <family val="2"/>
      </rPr>
      <t xml:space="preserve"> siehe Begriffserklärung;  </t>
    </r>
    <r>
      <rPr>
        <b/>
        <sz val="10"/>
        <rFont val="Arial Narrow"/>
        <family val="2"/>
      </rPr>
      <t>fett:</t>
    </r>
    <r>
      <rPr>
        <sz val="10"/>
        <rFont val="Arial Narrow"/>
        <family val="2"/>
      </rPr>
      <t xml:space="preserve"> anzustrebende Werte</t>
    </r>
  </si>
  <si>
    <t>Summe</t>
  </si>
  <si>
    <r>
      <t>Punkte offene Ackerfläche</t>
    </r>
    <r>
      <rPr>
        <sz val="11"/>
        <rFont val="Arial Narrow"/>
        <family val="2"/>
      </rPr>
      <t xml:space="preserve"> (mit Anteil Ackerfläche gewichtet)</t>
    </r>
  </si>
  <si>
    <r>
      <t>Punkte Grünland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(mit Anteil Grünland gewichtet )</t>
    </r>
  </si>
  <si>
    <t>DGVE</t>
  </si>
  <si>
    <t xml:space="preserve">z.B. Wässermatten, Benjeshecke, Streifenmahd, Tümpel, Teiche,Trockenmauern, Nistkästen, </t>
  </si>
  <si>
    <t>offene Bodenstellen, Infrarot-Retter, Amphibienzäune usw.</t>
  </si>
  <si>
    <t>Typ</t>
  </si>
  <si>
    <r>
      <t xml:space="preserve">Anzahl </t>
    </r>
    <r>
      <rPr>
        <i/>
        <sz val="11"/>
        <rFont val="Arial Narrow"/>
        <family val="2"/>
      </rPr>
      <t>Nutzungsparzellen (ohne Ökoflächen)</t>
    </r>
  </si>
  <si>
    <t>Ökoflächen in der Bergzone I</t>
  </si>
  <si>
    <t>Ökoflächen in der Bergzone II-IV</t>
  </si>
  <si>
    <r>
      <t xml:space="preserve">Total Ökoflächen mit </t>
    </r>
    <r>
      <rPr>
        <i/>
        <sz val="11"/>
        <rFont val="Arial Narrow"/>
        <family val="2"/>
      </rPr>
      <t>Qualität</t>
    </r>
  </si>
  <si>
    <r>
      <t xml:space="preserve">Total Ökoflächen mit </t>
    </r>
    <r>
      <rPr>
        <i/>
        <sz val="11"/>
        <rFont val="Arial Narrow"/>
        <family val="2"/>
      </rPr>
      <t>Strukturvielfalt</t>
    </r>
  </si>
  <si>
    <t>Säume auf Ackerland</t>
  </si>
  <si>
    <t>8.1</t>
  </si>
  <si>
    <t>1. Grenze</t>
  </si>
  <si>
    <t>1. Wert</t>
  </si>
  <si>
    <t>2. Grenze</t>
  </si>
  <si>
    <t>2. Wert</t>
  </si>
  <si>
    <t>3. Grenze</t>
  </si>
  <si>
    <t>3. Wert</t>
  </si>
  <si>
    <t>4. Grenze</t>
  </si>
  <si>
    <t>4. Wert</t>
  </si>
  <si>
    <t>5. Grenze</t>
  </si>
  <si>
    <t>5. Wert</t>
  </si>
  <si>
    <t>6. Grenze</t>
  </si>
  <si>
    <t>6. Wert</t>
  </si>
  <si>
    <t>Zielpunkte</t>
  </si>
  <si>
    <t>Grundbedingung</t>
  </si>
  <si>
    <t>Teilsumme Aufwertungsmassnahmen offenes Ackerland</t>
  </si>
  <si>
    <t>Teilsumme Aufwertungsmassnahmen Grünland/Streuefläche</t>
  </si>
  <si>
    <t>5.13</t>
  </si>
  <si>
    <t xml:space="preserve">mit </t>
  </si>
  <si>
    <t>Strukturvielfalt</t>
  </si>
  <si>
    <t>Anzahl</t>
  </si>
  <si>
    <t>ÖAF auf 20 ha Ackerland</t>
  </si>
  <si>
    <r>
      <t>Grossflächige</t>
    </r>
    <r>
      <rPr>
        <b/>
        <sz val="11"/>
        <rFont val="Arial Narrow"/>
        <family val="2"/>
      </rPr>
      <t xml:space="preserve"> Ökoflächen mit Qualität</t>
    </r>
  </si>
  <si>
    <t>10.10</t>
  </si>
  <si>
    <t>5.17.1</t>
  </si>
  <si>
    <t>zusätzlich zu 10.9: Verzicht auf Striegel/Hackgeräte im Getreide</t>
  </si>
  <si>
    <r>
      <t>Ackerfläche</t>
    </r>
    <r>
      <rPr>
        <sz val="11"/>
        <rFont val="Arial Narrow"/>
        <family val="2"/>
      </rPr>
      <t xml:space="preserve"> (total)</t>
    </r>
  </si>
  <si>
    <r>
      <t xml:space="preserve">ökologische Ausgleichsflächen </t>
    </r>
    <r>
      <rPr>
        <sz val="11"/>
        <rFont val="Arial Narrow"/>
        <family val="2"/>
      </rPr>
      <t>(öAF)</t>
    </r>
  </si>
  <si>
    <r>
      <t xml:space="preserve">DGVE total        </t>
    </r>
    <r>
      <rPr>
        <sz val="11"/>
        <rFont val="ZapfDingbats"/>
        <family val="5"/>
      </rPr>
      <t>è</t>
    </r>
  </si>
  <si>
    <t xml:space="preserve">Ökoflächen mit Strukturvielfalt </t>
  </si>
  <si>
    <r>
      <t xml:space="preserve">offene Ackerfläche mit </t>
    </r>
    <r>
      <rPr>
        <i/>
        <sz val="11"/>
        <rFont val="Arial Narrow"/>
        <family val="2"/>
      </rPr>
      <t>pfluglosem Anbau</t>
    </r>
  </si>
  <si>
    <r>
      <t>ü</t>
    </r>
    <r>
      <rPr>
        <i/>
        <sz val="11"/>
        <rFont val="Arial Narrow"/>
        <family val="2"/>
      </rPr>
      <t>berwinternde Gründüngung</t>
    </r>
    <r>
      <rPr>
        <sz val="11"/>
        <rFont val="Arial Narrow"/>
        <family val="2"/>
      </rPr>
      <t xml:space="preserve"> bis 14. Februar</t>
    </r>
  </si>
  <si>
    <r>
      <t xml:space="preserve">Massnahmen im extensiv genutzten Grünland </t>
    </r>
    <r>
      <rPr>
        <sz val="11"/>
        <rFont val="Arial Narrow"/>
        <family val="2"/>
      </rPr>
      <t>(ext. Weide, ext. Wiese, wenig int. Wiese, Streuefläche)</t>
    </r>
  </si>
  <si>
    <r>
      <t>gestaffelte Wiesennutzung</t>
    </r>
    <r>
      <rPr>
        <sz val="11"/>
        <rFont val="Arial Narrow"/>
        <family val="2"/>
      </rPr>
      <t xml:space="preserve"> (Vereinbarung mit kantonaler Naturschutzfachstelle)  </t>
    </r>
  </si>
  <si>
    <t>Verzicht auf Mähaufbereiter</t>
  </si>
  <si>
    <t xml:space="preserve">extensive/wenig intensive Wiesen und extensive Weiden in Hochstammobstgärten  </t>
  </si>
  <si>
    <r>
      <t>Verzicht auf Halmverkürzer, Insektizide, Fungizide</t>
    </r>
    <r>
      <rPr>
        <sz val="11"/>
        <rFont val="Arial Narrow"/>
        <family val="2"/>
      </rPr>
      <t xml:space="preserve"> im Getreide, Raps (Extenso, Bio)</t>
    </r>
  </si>
  <si>
    <t>extensive Weide und Waldw.</t>
  </si>
  <si>
    <t xml:space="preserve">Bäume als Ökoflächen  </t>
  </si>
  <si>
    <t xml:space="preserve">Rebflächen mit hoher Artenvielfalt  </t>
  </si>
  <si>
    <t xml:space="preserve">Total Ökoflächen ohne Bäume  </t>
  </si>
  <si>
    <t xml:space="preserve">Total Ökoflächen inkl. Bäume  </t>
  </si>
  <si>
    <t xml:space="preserve">Ökoflächen auf Ackerflächen  </t>
  </si>
  <si>
    <t xml:space="preserve">Ökoflächen auf Dauergrünland/Streueflächen   </t>
  </si>
  <si>
    <r>
      <t>Kleinflächen /patches</t>
    </r>
    <r>
      <rPr>
        <sz val="11"/>
        <rFont val="Arial Narrow"/>
        <family val="2"/>
      </rPr>
      <t xml:space="preserve"> (auf Getreide, Raps, Sonnenblumen oder Mais)  </t>
    </r>
  </si>
  <si>
    <t xml:space="preserve">Mais mit Klee/Gras-Untersaat oder Maiswiese  </t>
  </si>
  <si>
    <r>
      <t>Buntbrachenmanagement</t>
    </r>
    <r>
      <rPr>
        <sz val="11"/>
        <rFont val="Arial Narrow"/>
        <family val="2"/>
      </rPr>
      <t xml:space="preserve">: jeweils 1/4 pro Jahr umbrechen  </t>
    </r>
  </si>
  <si>
    <t xml:space="preserve">welche Nutzungstypen nehmen mind. 8% der LN auf dem Betrieb ein?  </t>
  </si>
  <si>
    <t xml:space="preserve">intensiv genutzes Grünland </t>
  </si>
  <si>
    <t>ha</t>
  </si>
  <si>
    <t>Typen</t>
  </si>
  <si>
    <t>ÖAF bezogen auf 20 ha Grün- und Streueland</t>
  </si>
  <si>
    <t>Ökoflächen in der Tal- und Hügelzone (Talgebiet)</t>
  </si>
  <si>
    <r>
      <t>Verzicht auf Insektizide und Fungizide</t>
    </r>
    <r>
      <rPr>
        <sz val="11"/>
        <rFont val="Arial Narrow"/>
        <family val="2"/>
      </rPr>
      <t xml:space="preserve"> (ohne Getreide, Raps und Mais)</t>
    </r>
  </si>
  <si>
    <t>10.8b</t>
  </si>
  <si>
    <t>Betriebscode</t>
  </si>
  <si>
    <t>Jahr</t>
  </si>
  <si>
    <t>Bemerkungen:</t>
  </si>
  <si>
    <t>Name, Vorname:</t>
  </si>
  <si>
    <t>Adresse:</t>
  </si>
  <si>
    <t>PLZ:</t>
  </si>
  <si>
    <t>Ort:</t>
  </si>
  <si>
    <t>Telefon:</t>
  </si>
  <si>
    <t>eMail:</t>
  </si>
  <si>
    <t>Version allgemein 2010</t>
  </si>
  <si>
    <t>Version allgemein Tal 2010.4</t>
  </si>
  <si>
    <t>davon aus Biodiversität:</t>
  </si>
  <si>
    <t>Zielwert: 12 Punkte (ab 2013: 17 Punkte, wovon mind. 15 aus Biodiversität)</t>
  </si>
  <si>
    <r>
      <t xml:space="preserve">Anzahl Öko-Einzelflächen von mindestens 25 a auf </t>
    </r>
    <r>
      <rPr>
        <b/>
        <sz val="11"/>
        <rFont val="Arial Narrow"/>
        <family val="2"/>
      </rPr>
      <t>Ackerfläche</t>
    </r>
    <r>
      <rPr>
        <sz val="11"/>
        <rFont val="Arial Narrow"/>
        <family val="2"/>
      </rPr>
      <t xml:space="preserve"> ( 1 Fläche à 75 a = 3)</t>
    </r>
  </si>
  <si>
    <r>
      <t xml:space="preserve">Anzahl Öko-Einzelflächen von mind. 25 a auf </t>
    </r>
    <r>
      <rPr>
        <b/>
        <sz val="10"/>
        <rFont val="Arial Narrow"/>
        <family val="2"/>
      </rPr>
      <t>Dauergrünland oder Streueflächen</t>
    </r>
    <r>
      <rPr>
        <sz val="10"/>
        <rFont val="Arial Narrow"/>
        <family val="2"/>
      </rPr>
      <t xml:space="preserve"> ( 1 Fläche à 75 a = 3)</t>
    </r>
  </si>
  <si>
    <r>
      <t xml:space="preserve">Anzahl separate Ökoflächen von mindestens 10 a auf  </t>
    </r>
    <r>
      <rPr>
        <b/>
        <sz val="11"/>
        <rFont val="Arial Narrow"/>
        <family val="2"/>
      </rPr>
      <t xml:space="preserve">Ackerland </t>
    </r>
    <r>
      <rPr>
        <sz val="11"/>
        <rFont val="Arial Narrow"/>
        <family val="2"/>
      </rPr>
      <t xml:space="preserve">( 1 Fläche à 75 a = </t>
    </r>
    <r>
      <rPr>
        <b/>
        <sz val="11"/>
        <rFont val="Arial Narrow"/>
        <family val="2"/>
      </rPr>
      <t>1</t>
    </r>
    <r>
      <rPr>
        <sz val="11"/>
        <rFont val="Arial Narrow"/>
        <family val="2"/>
      </rPr>
      <t>)</t>
    </r>
  </si>
  <si>
    <r>
      <t xml:space="preserve">Anzahl separate Ökoflächen von mind. 10 a auf  </t>
    </r>
    <r>
      <rPr>
        <b/>
        <sz val="11"/>
        <rFont val="Arial Narrow"/>
        <family val="2"/>
      </rPr>
      <t>Grün- und Streueland</t>
    </r>
    <r>
      <rPr>
        <sz val="11"/>
        <rFont val="Arial Narrow"/>
        <family val="2"/>
      </rPr>
      <t xml:space="preserve"> ( 1 Fl. à 75 a = </t>
    </r>
    <r>
      <rPr>
        <b/>
        <sz val="11"/>
        <rFont val="Arial Narrow"/>
        <family val="2"/>
      </rPr>
      <t>1</t>
    </r>
    <r>
      <rPr>
        <sz val="11"/>
        <rFont val="Arial Narrow"/>
        <family val="2"/>
      </rPr>
      <t>)</t>
    </r>
  </si>
  <si>
    <t>© Forschungsinstitut für biologischen Landbau und Schweizerische Vogelwarte, April 2010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</si>
</sst>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%"/>
    <numFmt numFmtId="180" formatCode="0\ &quot;m&quot;"/>
    <numFmt numFmtId="181" formatCode="0.00\ &quot;ha&quot;"/>
    <numFmt numFmtId="182" formatCode="0.0000000000000000"/>
    <numFmt numFmtId="183" formatCode="&quot;(&quot;0&quot;)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34">
    <font>
      <sz val="10"/>
      <name val="Arial"/>
      <family val="0"/>
    </font>
    <font>
      <sz val="11"/>
      <name val="ZapfDingbats"/>
      <family val="5"/>
    </font>
    <font>
      <b/>
      <sz val="10"/>
      <name val="Tahoma"/>
      <family val="0"/>
    </font>
    <font>
      <b/>
      <i/>
      <sz val="11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Arial Narrow"/>
      <family val="2"/>
    </font>
    <font>
      <i/>
      <sz val="11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1"/>
      <color indexed="9"/>
      <name val="ZapfDingbats"/>
      <family val="5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indexed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 Narrow"/>
      <family val="2"/>
    </font>
    <font>
      <b/>
      <sz val="12"/>
      <name val="Tahoma"/>
      <family val="0"/>
    </font>
    <font>
      <b/>
      <sz val="10"/>
      <color indexed="53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0"/>
      <name val="Tahoma"/>
      <family val="2"/>
    </font>
    <font>
      <sz val="14"/>
      <name val="Arial Narrow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horizontal="left"/>
      <protection hidden="1"/>
    </xf>
    <xf numFmtId="0" fontId="25" fillId="0" borderId="0" applyNumberFormat="0" applyFill="0" applyBorder="0" applyAlignment="0" applyProtection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1" fontId="4" fillId="2" borderId="0">
      <alignment/>
      <protection hidden="1" locked="0"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" fontId="4" fillId="2" borderId="0">
      <alignment/>
      <protection hidden="1" locked="0"/>
    </xf>
  </cellStyleXfs>
  <cellXfs count="185">
    <xf numFmtId="0" fontId="0" fillId="0" borderId="0" xfId="0" applyAlignment="1">
      <alignment/>
    </xf>
    <xf numFmtId="9" fontId="4" fillId="2" borderId="0" xfId="21" applyFont="1" applyFill="1" applyAlignment="1" applyProtection="1">
      <alignment/>
      <protection hidden="1" locked="0"/>
    </xf>
    <xf numFmtId="0" fontId="6" fillId="3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9" fontId="4" fillId="2" borderId="0" xfId="0" applyNumberFormat="1" applyFont="1" applyFill="1" applyAlignment="1" applyProtection="1">
      <alignment/>
      <protection hidden="1" locked="0"/>
    </xf>
    <xf numFmtId="0" fontId="9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78" fontId="4" fillId="4" borderId="0" xfId="0" applyNumberFormat="1" applyFont="1" applyFill="1" applyAlignment="1" applyProtection="1">
      <alignment/>
      <protection hidden="1" locked="0"/>
    </xf>
    <xf numFmtId="0" fontId="1" fillId="0" borderId="0" xfId="0" applyFont="1" applyAlignment="1" applyProtection="1">
      <alignment horizontal="right"/>
      <protection hidden="1"/>
    </xf>
    <xf numFmtId="2" fontId="4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178" fontId="4" fillId="3" borderId="0" xfId="0" applyNumberFormat="1" applyFont="1" applyFill="1" applyAlignment="1" applyProtection="1">
      <alignment/>
      <protection hidden="1"/>
    </xf>
    <xf numFmtId="178" fontId="6" fillId="3" borderId="0" xfId="0" applyNumberFormat="1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 locked="0"/>
    </xf>
    <xf numFmtId="179" fontId="4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179" fontId="4" fillId="3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/>
      <protection hidden="1" locked="0"/>
    </xf>
    <xf numFmtId="0" fontId="7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/>
      <protection hidden="1"/>
    </xf>
    <xf numFmtId="178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7" fillId="5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9" fillId="6" borderId="0" xfId="0" applyFont="1" applyFill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178" fontId="11" fillId="0" borderId="0" xfId="0" applyNumberFormat="1" applyFont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right"/>
      <protection hidden="1"/>
    </xf>
    <xf numFmtId="9" fontId="4" fillId="3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3" fillId="3" borderId="0" xfId="0" applyFont="1" applyFill="1" applyAlignment="1" applyProtection="1">
      <alignment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80" fontId="4" fillId="2" borderId="0" xfId="0" applyNumberFormat="1" applyFont="1" applyFill="1" applyAlignment="1" applyProtection="1">
      <alignment/>
      <protection hidden="1" locked="0"/>
    </xf>
    <xf numFmtId="0" fontId="10" fillId="0" borderId="0" xfId="0" applyFont="1" applyFill="1" applyAlignment="1" applyProtection="1">
      <alignment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0" fontId="7" fillId="6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9" fillId="7" borderId="0" xfId="0" applyFont="1" applyFill="1" applyAlignment="1" applyProtection="1">
      <alignment/>
      <protection hidden="1"/>
    </xf>
    <xf numFmtId="0" fontId="6" fillId="7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10" fillId="3" borderId="0" xfId="0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49" fontId="4" fillId="3" borderId="0" xfId="0" applyNumberFormat="1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4" fillId="3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178" fontId="4" fillId="4" borderId="0" xfId="0" applyNumberFormat="1" applyFont="1" applyFill="1" applyAlignment="1" applyProtection="1">
      <alignment/>
      <protection hidden="1"/>
    </xf>
    <xf numFmtId="0" fontId="13" fillId="4" borderId="0" xfId="0" applyFont="1" applyFill="1" applyAlignment="1" applyProtection="1">
      <alignment/>
      <protection hidden="1"/>
    </xf>
    <xf numFmtId="178" fontId="13" fillId="4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78" fontId="4" fillId="0" borderId="0" xfId="0" applyNumberFormat="1" applyFont="1" applyFill="1" applyAlignment="1" applyProtection="1">
      <alignment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1" fontId="4" fillId="3" borderId="0" xfId="0" applyNumberFormat="1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Fill="1" applyAlignment="1" applyProtection="1">
      <alignment horizontal="left"/>
      <protection hidden="1"/>
    </xf>
    <xf numFmtId="14" fontId="17" fillId="0" borderId="0" xfId="0" applyNumberFormat="1" applyFont="1" applyAlignment="1" applyProtection="1" quotePrefix="1">
      <alignment horizontal="left"/>
      <protection hidden="1"/>
    </xf>
    <xf numFmtId="0" fontId="17" fillId="0" borderId="0" xfId="0" applyFont="1" applyAlignment="1" applyProtection="1" quotePrefix="1">
      <alignment horizontal="left"/>
      <protection hidden="1"/>
    </xf>
    <xf numFmtId="0" fontId="14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 quotePrefix="1">
      <alignment horizontal="left"/>
      <protection hidden="1"/>
    </xf>
    <xf numFmtId="9" fontId="6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1" fontId="4" fillId="0" borderId="0" xfId="0" applyNumberFormat="1" applyFont="1" applyAlignment="1" applyProtection="1">
      <alignment/>
      <protection hidden="1"/>
    </xf>
    <xf numFmtId="0" fontId="16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" fontId="9" fillId="6" borderId="0" xfId="0" applyNumberFormat="1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1" fontId="12" fillId="6" borderId="0" xfId="0" applyNumberFormat="1" applyFont="1" applyFill="1" applyAlignment="1" applyProtection="1">
      <alignment horizontal="center"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9" fontId="4" fillId="2" borderId="0" xfId="0" applyNumberFormat="1" applyFont="1" applyFill="1" applyAlignment="1" applyProtection="1">
      <alignment horizontal="right"/>
      <protection hidden="1" locked="0"/>
    </xf>
    <xf numFmtId="14" fontId="17" fillId="0" borderId="0" xfId="0" applyNumberFormat="1" applyFont="1" applyFill="1" applyAlignment="1" applyProtection="1" quotePrefix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1" fontId="11" fillId="6" borderId="0" xfId="0" applyNumberFormat="1" applyFont="1" applyFill="1" applyAlignment="1" applyProtection="1">
      <alignment horizontal="center"/>
      <protection hidden="1"/>
    </xf>
    <xf numFmtId="178" fontId="11" fillId="2" borderId="0" xfId="0" applyNumberFormat="1" applyFont="1" applyFill="1" applyAlignment="1" applyProtection="1">
      <alignment horizontal="center"/>
      <protection hidden="1" locked="0"/>
    </xf>
    <xf numFmtId="0" fontId="10" fillId="7" borderId="0" xfId="0" applyFont="1" applyFill="1" applyAlignment="1" applyProtection="1">
      <alignment horizontal="right"/>
      <protection hidden="1"/>
    </xf>
    <xf numFmtId="0" fontId="16" fillId="7" borderId="0" xfId="0" applyFont="1" applyFill="1" applyAlignment="1" applyProtection="1">
      <alignment horizontal="right"/>
      <protection hidden="1"/>
    </xf>
    <xf numFmtId="178" fontId="16" fillId="7" borderId="0" xfId="0" applyNumberFormat="1" applyFont="1" applyFill="1" applyAlignment="1" applyProtection="1">
      <alignment horizontal="center"/>
      <protection hidden="1"/>
    </xf>
    <xf numFmtId="178" fontId="9" fillId="6" borderId="0" xfId="0" applyNumberFormat="1" applyFont="1" applyFill="1" applyAlignment="1" applyProtection="1">
      <alignment horizontal="center"/>
      <protection hidden="1"/>
    </xf>
    <xf numFmtId="181" fontId="4" fillId="2" borderId="0" xfId="0" applyNumberFormat="1" applyFont="1" applyFill="1" applyAlignment="1" applyProtection="1">
      <alignment/>
      <protection hidden="1" locked="0"/>
    </xf>
    <xf numFmtId="181" fontId="4" fillId="0" borderId="0" xfId="0" applyNumberFormat="1" applyFont="1" applyAlignment="1" applyProtection="1">
      <alignment/>
      <protection hidden="1"/>
    </xf>
    <xf numFmtId="181" fontId="4" fillId="0" borderId="0" xfId="0" applyNumberFormat="1" applyFont="1" applyFill="1" applyAlignment="1" applyProtection="1">
      <alignment/>
      <protection hidden="1"/>
    </xf>
    <xf numFmtId="0" fontId="8" fillId="8" borderId="0" xfId="0" applyFont="1" applyFill="1" applyAlignment="1" applyProtection="1">
      <alignment horizontal="left"/>
      <protection hidden="1"/>
    </xf>
    <xf numFmtId="0" fontId="6" fillId="8" borderId="0" xfId="0" applyFont="1" applyFill="1" applyAlignment="1" applyProtection="1">
      <alignment/>
      <protection hidden="1"/>
    </xf>
    <xf numFmtId="0" fontId="8" fillId="8" borderId="0" xfId="0" applyFont="1" applyFill="1" applyAlignment="1" applyProtection="1">
      <alignment/>
      <protection hidden="1"/>
    </xf>
    <xf numFmtId="0" fontId="16" fillId="8" borderId="0" xfId="0" applyFont="1" applyFill="1" applyAlignment="1" applyProtection="1">
      <alignment horizontal="right"/>
      <protection hidden="1"/>
    </xf>
    <xf numFmtId="178" fontId="16" fillId="8" borderId="0" xfId="0" applyNumberFormat="1" applyFont="1" applyFill="1" applyAlignment="1" applyProtection="1">
      <alignment horizontal="center"/>
      <protection hidden="1"/>
    </xf>
    <xf numFmtId="178" fontId="4" fillId="2" borderId="0" xfId="0" applyNumberFormat="1" applyFont="1" applyFill="1" applyAlignment="1" applyProtection="1">
      <alignment/>
      <protection hidden="1" locked="0"/>
    </xf>
    <xf numFmtId="0" fontId="3" fillId="0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 horizontal="left"/>
      <protection hidden="1"/>
    </xf>
    <xf numFmtId="0" fontId="7" fillId="8" borderId="0" xfId="0" applyFont="1" applyFill="1" applyAlignment="1" applyProtection="1">
      <alignment/>
      <protection hidden="1"/>
    </xf>
    <xf numFmtId="2" fontId="12" fillId="8" borderId="0" xfId="0" applyNumberFormat="1" applyFont="1" applyFill="1" applyAlignment="1" applyProtection="1">
      <alignment horizontal="center"/>
      <protection hidden="1"/>
    </xf>
    <xf numFmtId="2" fontId="9" fillId="5" borderId="0" xfId="0" applyNumberFormat="1" applyFont="1" applyFill="1" applyAlignment="1" applyProtection="1">
      <alignment horizontal="center"/>
      <protection hidden="1"/>
    </xf>
    <xf numFmtId="2" fontId="11" fillId="5" borderId="0" xfId="0" applyNumberFormat="1" applyFont="1" applyFill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right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178" fontId="9" fillId="5" borderId="0" xfId="0" applyNumberFormat="1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6" fillId="9" borderId="0" xfId="0" applyFont="1" applyFill="1" applyAlignment="1" applyProtection="1">
      <alignment horizontal="center"/>
      <protection hidden="1"/>
    </xf>
    <xf numFmtId="0" fontId="4" fillId="9" borderId="0" xfId="0" applyFont="1" applyFill="1" applyAlignment="1" applyProtection="1">
      <alignment horizontal="center"/>
      <protection hidden="1"/>
    </xf>
    <xf numFmtId="0" fontId="4" fillId="9" borderId="0" xfId="0" applyFont="1" applyFill="1" applyAlignment="1" applyProtection="1">
      <alignment/>
      <protection hidden="1"/>
    </xf>
    <xf numFmtId="0" fontId="6" fillId="9" borderId="0" xfId="0" applyFont="1" applyFill="1" applyAlignment="1" applyProtection="1">
      <alignment/>
      <protection hidden="1"/>
    </xf>
    <xf numFmtId="0" fontId="7" fillId="9" borderId="0" xfId="0" applyFont="1" applyFill="1" applyAlignment="1" applyProtection="1" quotePrefix="1">
      <alignment horizontal="center"/>
      <protection hidden="1"/>
    </xf>
    <xf numFmtId="2" fontId="12" fillId="9" borderId="0" xfId="0" applyNumberFormat="1" applyFont="1" applyFill="1" applyAlignment="1" applyProtection="1">
      <alignment horizontal="center"/>
      <protection hidden="1"/>
    </xf>
    <xf numFmtId="0" fontId="12" fillId="9" borderId="0" xfId="0" applyFont="1" applyFill="1" applyAlignment="1" applyProtection="1">
      <alignment horizontal="center"/>
      <protection hidden="1"/>
    </xf>
    <xf numFmtId="0" fontId="6" fillId="9" borderId="0" xfId="0" applyFont="1" applyFill="1" applyAlignment="1" applyProtection="1" quotePrefix="1">
      <alignment horizontal="center"/>
      <protection hidden="1"/>
    </xf>
    <xf numFmtId="0" fontId="7" fillId="9" borderId="0" xfId="0" applyFont="1" applyFill="1" applyAlignment="1" applyProtection="1">
      <alignment/>
      <protection hidden="1"/>
    </xf>
    <xf numFmtId="0" fontId="10" fillId="9" borderId="0" xfId="0" applyFont="1" applyFill="1" applyAlignment="1" applyProtection="1">
      <alignment/>
      <protection hidden="1"/>
    </xf>
    <xf numFmtId="0" fontId="7" fillId="9" borderId="0" xfId="0" applyFont="1" applyFill="1" applyAlignment="1" applyProtection="1">
      <alignment horizontal="center"/>
      <protection hidden="1"/>
    </xf>
    <xf numFmtId="16" fontId="6" fillId="9" borderId="0" xfId="0" applyNumberFormat="1" applyFont="1" applyFill="1" applyAlignment="1" applyProtection="1" quotePrefix="1">
      <alignment horizontal="center"/>
      <protection hidden="1"/>
    </xf>
    <xf numFmtId="0" fontId="22" fillId="9" borderId="0" xfId="0" applyFont="1" applyFill="1" applyAlignment="1" applyProtection="1">
      <alignment/>
      <protection hidden="1"/>
    </xf>
    <xf numFmtId="0" fontId="21" fillId="8" borderId="0" xfId="0" applyNumberFormat="1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183" fontId="26" fillId="0" borderId="0" xfId="0" applyNumberFormat="1" applyFont="1" applyAlignment="1" applyProtection="1">
      <alignment horizontal="center"/>
      <protection hidden="1"/>
    </xf>
    <xf numFmtId="183" fontId="10" fillId="0" borderId="0" xfId="0" applyNumberFormat="1" applyFont="1" applyAlignment="1" applyProtection="1">
      <alignment horizontal="center"/>
      <protection hidden="1"/>
    </xf>
    <xf numFmtId="178" fontId="6" fillId="8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2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28" fillId="0" borderId="0" xfId="0" applyFont="1" applyAlignment="1">
      <alignment/>
    </xf>
    <xf numFmtId="0" fontId="14" fillId="0" borderId="0" xfId="0" applyFont="1" applyAlignment="1" applyProtection="1">
      <alignment horizontal="left"/>
      <protection hidden="1"/>
    </xf>
    <xf numFmtId="14" fontId="4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 applyProtection="1">
      <alignment/>
      <protection locked="0"/>
    </xf>
    <xf numFmtId="178" fontId="4" fillId="2" borderId="0" xfId="0" applyNumberFormat="1" applyFont="1" applyFill="1" applyAlignment="1" applyProtection="1">
      <alignment horizontal="left"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1" fontId="4" fillId="2" borderId="0" xfId="0" applyNumberFormat="1" applyFont="1" applyFill="1" applyAlignment="1" applyProtection="1">
      <alignment horizontal="left"/>
      <protection hidden="1" locked="0"/>
    </xf>
    <xf numFmtId="0" fontId="6" fillId="0" borderId="0" xfId="0" applyFont="1" applyFill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 horizontal="center"/>
      <protection hidden="1" locked="0"/>
    </xf>
    <xf numFmtId="0" fontId="4" fillId="2" borderId="0" xfId="0" applyNumberFormat="1" applyFont="1" applyFill="1" applyAlignment="1" applyProtection="1">
      <alignment horizontal="left"/>
      <protection hidden="1" locked="0"/>
    </xf>
    <xf numFmtId="0" fontId="6" fillId="0" borderId="0" xfId="0" applyFont="1" applyFill="1" applyAlignment="1" applyProtection="1">
      <alignment horizontal="left"/>
      <protection hidden="1"/>
    </xf>
    <xf numFmtId="0" fontId="32" fillId="8" borderId="0" xfId="0" applyFont="1" applyFill="1" applyAlignment="1" applyProtection="1">
      <alignment/>
      <protection hidden="1"/>
    </xf>
    <xf numFmtId="178" fontId="8" fillId="8" borderId="0" xfId="0" applyNumberFormat="1" applyFont="1" applyFill="1" applyAlignment="1" applyProtection="1">
      <alignment horizontal="left"/>
      <protection hidden="1"/>
    </xf>
    <xf numFmtId="2" fontId="10" fillId="8" borderId="0" xfId="0" applyNumberFormat="1" applyFont="1" applyFill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/>
      <protection hidden="1" locked="0"/>
    </xf>
    <xf numFmtId="0" fontId="4" fillId="2" borderId="0" xfId="0" applyNumberFormat="1" applyFont="1" applyFill="1" applyAlignment="1" applyProtection="1">
      <alignment horizontal="left"/>
      <protection hidden="1" locked="0"/>
    </xf>
  </cellXfs>
  <cellStyles count="11">
    <cellStyle name="Normal" xfId="0"/>
    <cellStyle name="Bedingung" xfId="15"/>
    <cellStyle name="Followed Hyperlink" xfId="16"/>
    <cellStyle name="Comma" xfId="17"/>
    <cellStyle name="Comma [0]" xfId="18"/>
    <cellStyle name="ha" xfId="19"/>
    <cellStyle name="Hyperlink" xfId="20"/>
    <cellStyle name="Percent" xfId="21"/>
    <cellStyle name="Currency" xfId="22"/>
    <cellStyle name="Currency [0]" xfId="23"/>
    <cellStyle name="Zahl i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133350</xdr:rowOff>
    </xdr:from>
    <xdr:to>
      <xdr:col>3</xdr:col>
      <xdr:colOff>419100</xdr:colOff>
      <xdr:row>2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1950"/>
          <a:ext cx="1876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61</xdr:row>
      <xdr:rowOff>9525</xdr:rowOff>
    </xdr:from>
    <xdr:to>
      <xdr:col>6</xdr:col>
      <xdr:colOff>552450</xdr:colOff>
      <xdr:row>62</xdr:row>
      <xdr:rowOff>19050</xdr:rowOff>
    </xdr:to>
    <xdr:sp>
      <xdr:nvSpPr>
        <xdr:cNvPr id="2" name="AutoShape 57"/>
        <xdr:cNvSpPr>
          <a:spLocks/>
        </xdr:cNvSpPr>
      </xdr:nvSpPr>
      <xdr:spPr>
        <a:xfrm rot="5400000">
          <a:off x="2124075" y="10839450"/>
          <a:ext cx="11525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61</xdr:row>
      <xdr:rowOff>19050</xdr:rowOff>
    </xdr:from>
    <xdr:to>
      <xdr:col>10</xdr:col>
      <xdr:colOff>533400</xdr:colOff>
      <xdr:row>62</xdr:row>
      <xdr:rowOff>28575</xdr:rowOff>
    </xdr:to>
    <xdr:sp>
      <xdr:nvSpPr>
        <xdr:cNvPr id="3" name="AutoShape 58"/>
        <xdr:cNvSpPr>
          <a:spLocks/>
        </xdr:cNvSpPr>
      </xdr:nvSpPr>
      <xdr:spPr>
        <a:xfrm rot="5400000">
          <a:off x="3448050" y="10848975"/>
          <a:ext cx="1123950" cy="123825"/>
        </a:xfrm>
        <a:prstGeom prst="rightBrace">
          <a:avLst>
            <a:gd name="adj" fmla="val 28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0</xdr:colOff>
      <xdr:row>2</xdr:row>
      <xdr:rowOff>238125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2"/>
        <a:srcRect b="10777"/>
        <a:stretch>
          <a:fillRect/>
        </a:stretch>
      </xdr:blipFill>
      <xdr:spPr>
        <a:xfrm>
          <a:off x="6296025" y="228600"/>
          <a:ext cx="2952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61</xdr:row>
      <xdr:rowOff>19050</xdr:rowOff>
    </xdr:from>
    <xdr:to>
      <xdr:col>14</xdr:col>
      <xdr:colOff>0</xdr:colOff>
      <xdr:row>62</xdr:row>
      <xdr:rowOff>9525</xdr:rowOff>
    </xdr:to>
    <xdr:sp>
      <xdr:nvSpPr>
        <xdr:cNvPr id="5" name="AutoShape 94"/>
        <xdr:cNvSpPr>
          <a:spLocks/>
        </xdr:cNvSpPr>
      </xdr:nvSpPr>
      <xdr:spPr>
        <a:xfrm rot="5400000">
          <a:off x="4762500" y="10848975"/>
          <a:ext cx="59055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K219"/>
  <sheetViews>
    <sheetView tabSelected="1" showOutlineSymbols="0"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74" sqref="B174"/>
    </sheetView>
  </sheetViews>
  <sheetFormatPr defaultColWidth="11.421875" defaultRowHeight="12.75" outlineLevelRow="1"/>
  <cols>
    <col min="1" max="1" width="5.00390625" style="80" customWidth="1"/>
    <col min="2" max="2" width="9.8515625" style="3" customWidth="1"/>
    <col min="3" max="3" width="7.140625" style="3" customWidth="1"/>
    <col min="4" max="4" width="9.57421875" style="3" customWidth="1"/>
    <col min="5" max="5" width="8.140625" style="3" customWidth="1"/>
    <col min="6" max="6" width="1.1484375" style="3" customWidth="1"/>
    <col min="7" max="7" width="8.57421875" style="3" customWidth="1"/>
    <col min="8" max="8" width="1.1484375" style="3" customWidth="1"/>
    <col min="9" max="9" width="8.8515625" style="3" customWidth="1"/>
    <col min="10" max="10" width="1.1484375" style="3" customWidth="1"/>
    <col min="11" max="11" width="9.7109375" style="3" customWidth="1"/>
    <col min="12" max="12" width="1.1484375" style="3" customWidth="1"/>
    <col min="13" max="13" width="8.8515625" style="5" customWidth="1"/>
    <col min="14" max="14" width="16.00390625" style="5" hidden="1" customWidth="1"/>
    <col min="15" max="15" width="7.7109375" style="0" customWidth="1"/>
    <col min="16" max="20" width="6.421875" style="5" customWidth="1"/>
    <col min="21" max="21" width="7.28125" style="5" customWidth="1"/>
    <col min="22" max="22" width="11.28125" style="35" customWidth="1"/>
    <col min="23" max="23" width="9.28125" style="46" customWidth="1"/>
    <col min="24" max="25" width="5.28125" style="11" hidden="1" customWidth="1"/>
    <col min="26" max="26" width="5.28125" style="2" hidden="1" customWidth="1"/>
    <col min="27" max="27" width="5.28125" style="4" hidden="1" customWidth="1"/>
    <col min="28" max="28" width="5.28125" style="2" hidden="1" customWidth="1"/>
    <col min="29" max="29" width="5.28125" style="4" hidden="1" customWidth="1"/>
    <col min="30" max="30" width="5.28125" style="2" hidden="1" customWidth="1"/>
    <col min="31" max="31" width="5.28125" style="4" hidden="1" customWidth="1"/>
    <col min="32" max="32" width="5.28125" style="2" hidden="1" customWidth="1"/>
    <col min="33" max="33" width="5.28125" style="4" hidden="1" customWidth="1"/>
    <col min="34" max="34" width="5.28125" style="2" hidden="1" customWidth="1"/>
    <col min="35" max="35" width="5.28125" style="4" hidden="1" customWidth="1"/>
    <col min="36" max="36" width="5.28125" style="2" hidden="1" customWidth="1"/>
    <col min="37" max="37" width="5.28125" style="4" hidden="1" customWidth="1"/>
    <col min="38" max="38" width="9.28125" style="3" customWidth="1"/>
    <col min="39" max="40" width="6.00390625" style="3" customWidth="1"/>
    <col min="41" max="16384" width="11.57421875" style="3" customWidth="1"/>
  </cols>
  <sheetData>
    <row r="1" spans="1:37" s="113" customFormat="1" ht="18">
      <c r="A1" s="112" t="s">
        <v>115</v>
      </c>
      <c r="C1" s="114"/>
      <c r="I1" s="115" t="s">
        <v>6</v>
      </c>
      <c r="J1" s="115"/>
      <c r="K1" s="115"/>
      <c r="M1" s="116">
        <f>+D207</f>
        <v>1</v>
      </c>
      <c r="V1" s="142">
        <f>+IF(LN&gt;1,LN)+SUM(B14:B16)+SUM(B20:B21)+B24+IF(Nutzungsparzellen&gt;1,Nutzungsparzellen)+IF(B41&gt;1,B41)+SUM(E49:K60)+SUM(B81:B151)+SUM(B156:B178)+SUM(M181:M186)+B195+B202</f>
        <v>3</v>
      </c>
      <c r="W1" s="146"/>
      <c r="X1" s="113" t="s">
        <v>163</v>
      </c>
      <c r="Y1" s="113" t="s">
        <v>164</v>
      </c>
      <c r="Z1" s="113" t="s">
        <v>151</v>
      </c>
      <c r="AA1" s="113" t="s">
        <v>152</v>
      </c>
      <c r="AB1" s="113" t="s">
        <v>153</v>
      </c>
      <c r="AC1" s="113" t="s">
        <v>154</v>
      </c>
      <c r="AD1" s="113" t="s">
        <v>155</v>
      </c>
      <c r="AE1" s="113" t="s">
        <v>156</v>
      </c>
      <c r="AF1" s="113" t="s">
        <v>157</v>
      </c>
      <c r="AG1" s="113" t="s">
        <v>158</v>
      </c>
      <c r="AH1" s="113" t="s">
        <v>159</v>
      </c>
      <c r="AI1" s="113" t="s">
        <v>160</v>
      </c>
      <c r="AJ1" s="113" t="s">
        <v>161</v>
      </c>
      <c r="AK1" s="113" t="s">
        <v>162</v>
      </c>
    </row>
    <row r="2" spans="1:37" s="8" customFormat="1" ht="51" customHeight="1">
      <c r="A2" s="80"/>
      <c r="B2" s="6"/>
      <c r="C2" s="6"/>
      <c r="G2"/>
      <c r="I2" s="6"/>
      <c r="J2" s="6"/>
      <c r="K2" s="6"/>
      <c r="M2" s="6"/>
      <c r="N2" s="6"/>
      <c r="P2" s="97"/>
      <c r="Q2" s="97"/>
      <c r="R2" s="97"/>
      <c r="S2" s="97"/>
      <c r="T2" s="97"/>
      <c r="U2" s="148"/>
      <c r="V2" s="6"/>
      <c r="W2" s="149"/>
      <c r="X2" s="7"/>
      <c r="Y2" s="7"/>
      <c r="Z2" s="2"/>
      <c r="AA2" s="4"/>
      <c r="AB2" s="2"/>
      <c r="AC2" s="4"/>
      <c r="AD2" s="2"/>
      <c r="AE2" s="4"/>
      <c r="AF2" s="2"/>
      <c r="AG2" s="4"/>
      <c r="AH2" s="2"/>
      <c r="AI2" s="4"/>
      <c r="AJ2" s="2"/>
      <c r="AK2" s="4"/>
    </row>
    <row r="3" spans="1:37" s="29" customFormat="1" ht="25.5" customHeight="1">
      <c r="A3" s="81"/>
      <c r="D3" s="38"/>
      <c r="E3" s="38"/>
      <c r="F3" s="38"/>
      <c r="G3" s="38"/>
      <c r="H3" s="38"/>
      <c r="L3" s="38"/>
      <c r="M3" s="30"/>
      <c r="N3" s="30"/>
      <c r="P3" s="30"/>
      <c r="Q3" s="30"/>
      <c r="R3" s="30"/>
      <c r="S3" s="30"/>
      <c r="T3" s="30"/>
      <c r="U3" s="30"/>
      <c r="V3" s="46"/>
      <c r="W3" s="46"/>
      <c r="X3" s="11"/>
      <c r="Y3" s="11"/>
      <c r="Z3" s="2"/>
      <c r="AA3" s="4"/>
      <c r="AB3" s="2"/>
      <c r="AC3" s="4"/>
      <c r="AD3" s="2"/>
      <c r="AE3" s="4"/>
      <c r="AF3" s="2"/>
      <c r="AG3" s="4"/>
      <c r="AH3" s="2"/>
      <c r="AI3" s="4"/>
      <c r="AJ3" s="2"/>
      <c r="AK3" s="4"/>
    </row>
    <row r="4" spans="1:37" s="8" customFormat="1" ht="18">
      <c r="A4" s="128" t="s">
        <v>135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97"/>
      <c r="Q4" s="97"/>
      <c r="R4" s="97"/>
      <c r="S4" s="97"/>
      <c r="T4" s="97"/>
      <c r="W4" s="149"/>
      <c r="X4" s="7"/>
      <c r="Y4" s="7"/>
      <c r="Z4" s="2"/>
      <c r="AA4" s="4"/>
      <c r="AB4" s="2"/>
      <c r="AC4" s="4"/>
      <c r="AD4" s="2"/>
      <c r="AE4" s="4"/>
      <c r="AF4" s="2"/>
      <c r="AG4" s="4"/>
      <c r="AH4" s="2"/>
      <c r="AI4" s="4"/>
      <c r="AJ4" s="2"/>
      <c r="AK4" s="4"/>
    </row>
    <row r="5" spans="1:37" s="29" customFormat="1" ht="6" customHeight="1">
      <c r="A5" s="81"/>
      <c r="D5" s="38"/>
      <c r="E5" s="38"/>
      <c r="F5" s="38"/>
      <c r="G5" s="38"/>
      <c r="H5" s="38"/>
      <c r="L5" s="38"/>
      <c r="M5" s="30"/>
      <c r="N5" s="30"/>
      <c r="P5" s="30"/>
      <c r="Q5" s="30"/>
      <c r="R5" s="30"/>
      <c r="S5" s="30"/>
      <c r="T5" s="30"/>
      <c r="U5" s="30"/>
      <c r="V5" s="46"/>
      <c r="W5" s="46"/>
      <c r="X5" s="11"/>
      <c r="Y5" s="11"/>
      <c r="Z5" s="2"/>
      <c r="AA5" s="4"/>
      <c r="AB5" s="2"/>
      <c r="AC5" s="4"/>
      <c r="AD5" s="2"/>
      <c r="AE5" s="4"/>
      <c r="AF5" s="2"/>
      <c r="AG5" s="4"/>
      <c r="AH5" s="2"/>
      <c r="AI5" s="4"/>
      <c r="AJ5" s="2"/>
      <c r="AK5" s="4"/>
    </row>
    <row r="6" spans="1:25" ht="15" customHeight="1">
      <c r="A6" s="89" t="s">
        <v>113</v>
      </c>
      <c r="M6" s="3"/>
      <c r="N6" s="3"/>
      <c r="P6" s="3"/>
      <c r="Q6" s="64"/>
      <c r="R6" s="3"/>
      <c r="S6" s="3"/>
      <c r="T6" s="3"/>
      <c r="U6" s="3"/>
      <c r="V6" s="154"/>
      <c r="W6" s="45"/>
      <c r="X6" s="2"/>
      <c r="Y6" s="2"/>
    </row>
    <row r="7" spans="1:37" s="29" customFormat="1" ht="6" customHeight="1">
      <c r="A7" s="81"/>
      <c r="D7" s="38"/>
      <c r="E7" s="38"/>
      <c r="F7" s="38"/>
      <c r="G7" s="38"/>
      <c r="H7" s="38"/>
      <c r="L7" s="38"/>
      <c r="M7" s="30"/>
      <c r="N7" s="30"/>
      <c r="P7" s="30"/>
      <c r="Q7" s="30"/>
      <c r="R7" s="30"/>
      <c r="S7" s="30"/>
      <c r="T7" s="30"/>
      <c r="U7" s="30"/>
      <c r="V7" s="46"/>
      <c r="W7" s="46"/>
      <c r="X7" s="11"/>
      <c r="Y7" s="11"/>
      <c r="Z7" s="2"/>
      <c r="AA7" s="4"/>
      <c r="AB7" s="2"/>
      <c r="AC7" s="4"/>
      <c r="AD7" s="2"/>
      <c r="AE7" s="4"/>
      <c r="AF7" s="2"/>
      <c r="AG7" s="4"/>
      <c r="AH7" s="2"/>
      <c r="AI7" s="4"/>
      <c r="AJ7" s="2"/>
      <c r="AK7" s="4"/>
    </row>
    <row r="8" spans="1:23" ht="14.25" customHeight="1">
      <c r="A8" s="147" t="s">
        <v>136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8" t="s">
        <v>214</v>
      </c>
      <c r="W8" s="147"/>
    </row>
    <row r="9" spans="1:37" s="29" customFormat="1" ht="6" customHeight="1">
      <c r="A9" s="81"/>
      <c r="D9" s="38"/>
      <c r="E9" s="38"/>
      <c r="F9" s="38"/>
      <c r="G9" s="38"/>
      <c r="H9" s="38"/>
      <c r="L9" s="38"/>
      <c r="M9" s="30"/>
      <c r="N9" s="30"/>
      <c r="P9" s="30"/>
      <c r="Q9" s="30"/>
      <c r="R9" s="30"/>
      <c r="S9" s="30"/>
      <c r="T9" s="30"/>
      <c r="U9" s="30"/>
      <c r="V9" s="46"/>
      <c r="W9" s="46"/>
      <c r="X9" s="11"/>
      <c r="Y9" s="11"/>
      <c r="Z9" s="2"/>
      <c r="AA9" s="4"/>
      <c r="AB9" s="2"/>
      <c r="AC9" s="4"/>
      <c r="AD9" s="2"/>
      <c r="AE9" s="4"/>
      <c r="AF9" s="2"/>
      <c r="AG9" s="4"/>
      <c r="AH9" s="2"/>
      <c r="AI9" s="4"/>
      <c r="AJ9" s="2"/>
      <c r="AK9" s="4"/>
    </row>
    <row r="10" spans="1:37" s="56" customFormat="1" ht="21" customHeight="1">
      <c r="A10" s="55" t="s">
        <v>128</v>
      </c>
      <c r="C10" s="55"/>
      <c r="I10" s="105"/>
      <c r="J10" s="105"/>
      <c r="K10" s="106"/>
      <c r="M10" s="107"/>
      <c r="N10" s="105"/>
      <c r="P10" s="79"/>
      <c r="Q10" s="79"/>
      <c r="R10" s="79"/>
      <c r="S10" s="79"/>
      <c r="T10" s="79"/>
      <c r="U10" s="79"/>
      <c r="V10" s="105"/>
      <c r="W10" s="105"/>
      <c r="X10" s="11"/>
      <c r="Y10" s="11"/>
      <c r="Z10" s="2"/>
      <c r="AA10" s="4"/>
      <c r="AB10" s="2"/>
      <c r="AC10" s="4"/>
      <c r="AD10" s="2"/>
      <c r="AE10" s="4"/>
      <c r="AF10" s="2"/>
      <c r="AG10" s="4"/>
      <c r="AH10" s="2"/>
      <c r="AI10" s="4"/>
      <c r="AJ10" s="2"/>
      <c r="AK10" s="4"/>
    </row>
    <row r="11" spans="1:37" s="29" customFormat="1" ht="6" customHeight="1">
      <c r="A11" s="81"/>
      <c r="D11" s="38"/>
      <c r="E11" s="38"/>
      <c r="F11" s="38"/>
      <c r="G11" s="38"/>
      <c r="H11" s="38"/>
      <c r="L11" s="38"/>
      <c r="M11" s="30"/>
      <c r="N11" s="30"/>
      <c r="P11" s="30"/>
      <c r="Q11" s="30"/>
      <c r="R11" s="30"/>
      <c r="S11" s="30"/>
      <c r="T11" s="30"/>
      <c r="U11" s="30"/>
      <c r="V11" s="46"/>
      <c r="W11" s="46"/>
      <c r="X11" s="11"/>
      <c r="Y11" s="11"/>
      <c r="Z11" s="2"/>
      <c r="AA11" s="4"/>
      <c r="AB11" s="2"/>
      <c r="AC11" s="4"/>
      <c r="AD11" s="2"/>
      <c r="AE11" s="4"/>
      <c r="AF11" s="2"/>
      <c r="AG11" s="4"/>
      <c r="AH11" s="2"/>
      <c r="AI11" s="4"/>
      <c r="AJ11" s="2"/>
      <c r="AK11" s="4"/>
    </row>
    <row r="12" spans="1:25" ht="16.5">
      <c r="A12" s="80">
        <v>1</v>
      </c>
      <c r="B12" s="9" t="s">
        <v>44</v>
      </c>
      <c r="M12" s="3"/>
      <c r="N12" s="3"/>
      <c r="P12" s="3" t="s">
        <v>208</v>
      </c>
      <c r="Q12" s="3"/>
      <c r="R12" s="169"/>
      <c r="S12" s="117"/>
      <c r="T12" s="117"/>
      <c r="U12" s="117"/>
      <c r="V12" s="117"/>
      <c r="W12" s="45"/>
      <c r="X12" s="2"/>
      <c r="Y12" s="2"/>
    </row>
    <row r="13" spans="1:37" s="8" customFormat="1" ht="16.5">
      <c r="A13" s="80">
        <v>1.1</v>
      </c>
      <c r="B13" s="109">
        <v>2</v>
      </c>
      <c r="C13" s="8" t="s">
        <v>39</v>
      </c>
      <c r="I13" s="87" t="s">
        <v>12</v>
      </c>
      <c r="Q13" s="3"/>
      <c r="R13" s="170"/>
      <c r="S13" s="170"/>
      <c r="T13" s="170"/>
      <c r="U13" s="170"/>
      <c r="V13" s="171"/>
      <c r="W13" s="45"/>
      <c r="X13" s="10"/>
      <c r="Y13" s="10"/>
      <c r="Z13" s="10"/>
      <c r="AA13" s="67"/>
      <c r="AB13" s="10"/>
      <c r="AC13" s="67"/>
      <c r="AD13" s="10"/>
      <c r="AE13" s="67"/>
      <c r="AF13" s="10"/>
      <c r="AG13" s="67"/>
      <c r="AH13" s="10"/>
      <c r="AI13" s="67"/>
      <c r="AJ13" s="10"/>
      <c r="AK13" s="67"/>
    </row>
    <row r="14" spans="1:37" s="8" customFormat="1" ht="16.5">
      <c r="A14" s="82" t="s">
        <v>36</v>
      </c>
      <c r="B14" s="109">
        <v>0</v>
      </c>
      <c r="C14" s="73" t="s">
        <v>40</v>
      </c>
      <c r="I14" s="86">
        <f>+Dauergrünland/LN</f>
        <v>0</v>
      </c>
      <c r="P14" s="3" t="s">
        <v>209</v>
      </c>
      <c r="Q14" s="3"/>
      <c r="R14" s="169"/>
      <c r="S14" s="117"/>
      <c r="T14" s="117"/>
      <c r="U14" s="117"/>
      <c r="V14" s="117"/>
      <c r="W14" s="45"/>
      <c r="X14" s="10"/>
      <c r="Y14" s="10"/>
      <c r="Z14" s="10"/>
      <c r="AA14" s="67"/>
      <c r="AB14" s="10"/>
      <c r="AC14" s="67"/>
      <c r="AD14" s="10"/>
      <c r="AE14" s="67"/>
      <c r="AF14" s="10"/>
      <c r="AG14" s="67"/>
      <c r="AH14" s="10"/>
      <c r="AI14" s="67"/>
      <c r="AJ14" s="10"/>
      <c r="AK14" s="67"/>
    </row>
    <row r="15" spans="1:37" s="8" customFormat="1" ht="16.5">
      <c r="A15" s="83" t="s">
        <v>37</v>
      </c>
      <c r="B15" s="109">
        <v>0</v>
      </c>
      <c r="C15" s="180" t="s">
        <v>41</v>
      </c>
      <c r="D15" s="180"/>
      <c r="E15" s="180"/>
      <c r="F15" s="180"/>
      <c r="G15" s="180"/>
      <c r="H15" s="180"/>
      <c r="I15" s="86">
        <f>+offene_Ackerfläche/LN</f>
        <v>0</v>
      </c>
      <c r="W15" s="45"/>
      <c r="X15" s="10"/>
      <c r="Y15" s="10" t="s">
        <v>30</v>
      </c>
      <c r="Z15" s="10"/>
      <c r="AA15" s="67"/>
      <c r="AB15" s="10"/>
      <c r="AC15" s="67"/>
      <c r="AD15" s="10"/>
      <c r="AE15" s="67"/>
      <c r="AF15" s="10"/>
      <c r="AG15" s="67"/>
      <c r="AH15" s="10"/>
      <c r="AI15" s="67"/>
      <c r="AJ15" s="10"/>
      <c r="AK15" s="67"/>
    </row>
    <row r="16" spans="1:37" s="8" customFormat="1" ht="16.5">
      <c r="A16" s="83" t="s">
        <v>38</v>
      </c>
      <c r="B16" s="109">
        <v>0</v>
      </c>
      <c r="C16" s="73" t="s">
        <v>42</v>
      </c>
      <c r="I16" s="86">
        <f>+B16/LN</f>
        <v>0</v>
      </c>
      <c r="P16" s="3" t="s">
        <v>210</v>
      </c>
      <c r="Q16" s="3"/>
      <c r="R16" s="172"/>
      <c r="S16" s="3" t="s">
        <v>211</v>
      </c>
      <c r="T16" s="169"/>
      <c r="U16" s="117"/>
      <c r="V16" s="117"/>
      <c r="W16" s="45"/>
      <c r="X16" s="10"/>
      <c r="Y16" s="10"/>
      <c r="Z16" s="10"/>
      <c r="AA16" s="67"/>
      <c r="AB16" s="10"/>
      <c r="AC16" s="67"/>
      <c r="AD16" s="10"/>
      <c r="AE16" s="67"/>
      <c r="AF16" s="10"/>
      <c r="AG16" s="67"/>
      <c r="AH16" s="10"/>
      <c r="AI16" s="67"/>
      <c r="AJ16" s="10"/>
      <c r="AK16" s="67"/>
    </row>
    <row r="17" spans="1:37" s="8" customFormat="1" ht="16.5">
      <c r="A17" s="83" t="s">
        <v>43</v>
      </c>
      <c r="B17" s="18" t="s">
        <v>2</v>
      </c>
      <c r="C17" s="8">
        <f>+B16+offene_Ackerfläche</f>
        <v>0</v>
      </c>
      <c r="D17" s="180" t="s">
        <v>176</v>
      </c>
      <c r="E17" s="181"/>
      <c r="F17" s="181"/>
      <c r="G17" s="181"/>
      <c r="H17" s="181"/>
      <c r="I17" s="86">
        <f>+Ackerfläche/LN</f>
        <v>0</v>
      </c>
      <c r="P17" s="3"/>
      <c r="Q17" s="3"/>
      <c r="R17" s="170"/>
      <c r="S17" s="170"/>
      <c r="T17" s="170"/>
      <c r="U17" s="170"/>
      <c r="V17" s="171"/>
      <c r="W17" s="45"/>
      <c r="X17" s="10"/>
      <c r="Y17" s="10"/>
      <c r="Z17" s="10"/>
      <c r="AA17" s="67"/>
      <c r="AB17" s="10"/>
      <c r="AC17" s="67"/>
      <c r="AD17" s="10"/>
      <c r="AE17" s="67"/>
      <c r="AF17" s="10"/>
      <c r="AG17" s="67"/>
      <c r="AH17" s="10"/>
      <c r="AI17" s="67"/>
      <c r="AJ17" s="10"/>
      <c r="AK17" s="67"/>
    </row>
    <row r="18" spans="1:37" s="29" customFormat="1" ht="3.75" customHeight="1">
      <c r="A18" s="81"/>
      <c r="C18" s="90"/>
      <c r="D18" s="156">
        <f>+Dauergrünland+E57+Streuefläche+E56+G56</f>
        <v>0</v>
      </c>
      <c r="E18" s="91" t="s">
        <v>90</v>
      </c>
      <c r="F18" s="92"/>
      <c r="G18" s="92"/>
      <c r="H18" s="92"/>
      <c r="I18" s="93"/>
      <c r="L18" s="92"/>
      <c r="M18" s="30"/>
      <c r="N18" s="30"/>
      <c r="P18" s="30"/>
      <c r="Q18" s="30"/>
      <c r="R18" s="173"/>
      <c r="S18" s="173"/>
      <c r="T18" s="173"/>
      <c r="U18" s="173"/>
      <c r="V18" s="174"/>
      <c r="W18" s="46"/>
      <c r="X18" s="11"/>
      <c r="Y18" s="11"/>
      <c r="Z18" s="2"/>
      <c r="AA18" s="4"/>
      <c r="AB18" s="2"/>
      <c r="AC18" s="4"/>
      <c r="AD18" s="2"/>
      <c r="AE18" s="4"/>
      <c r="AF18" s="2"/>
      <c r="AG18" s="4"/>
      <c r="AH18" s="2"/>
      <c r="AI18" s="4"/>
      <c r="AJ18" s="2"/>
      <c r="AK18" s="4"/>
    </row>
    <row r="19" spans="1:37" s="29" customFormat="1" ht="13.5" customHeight="1">
      <c r="A19" s="85" t="s">
        <v>98</v>
      </c>
      <c r="B19" s="111">
        <f>+LN-B20-B21</f>
        <v>2</v>
      </c>
      <c r="C19" s="180" t="s">
        <v>99</v>
      </c>
      <c r="D19" s="181"/>
      <c r="E19" s="181"/>
      <c r="F19" s="181"/>
      <c r="G19" s="181"/>
      <c r="H19" s="181"/>
      <c r="I19" s="86">
        <f>+B19/LN</f>
        <v>1</v>
      </c>
      <c r="M19" s="30"/>
      <c r="N19" s="30"/>
      <c r="P19" s="3" t="s">
        <v>205</v>
      </c>
      <c r="Q19" s="3"/>
      <c r="R19" s="184"/>
      <c r="S19" s="184"/>
      <c r="U19" s="3" t="s">
        <v>206</v>
      </c>
      <c r="V19" s="175"/>
      <c r="W19" s="46"/>
      <c r="X19" s="11"/>
      <c r="Y19" s="11"/>
      <c r="Z19" s="2"/>
      <c r="AA19" s="4"/>
      <c r="AB19" s="2"/>
      <c r="AC19" s="4"/>
      <c r="AD19" s="2"/>
      <c r="AE19" s="4"/>
      <c r="AF19" s="2"/>
      <c r="AG19" s="4"/>
      <c r="AH19" s="2"/>
      <c r="AI19" s="4"/>
      <c r="AJ19" s="2"/>
      <c r="AK19" s="4"/>
    </row>
    <row r="20" spans="1:37" s="29" customFormat="1" ht="13.5" customHeight="1">
      <c r="A20" s="101" t="s">
        <v>100</v>
      </c>
      <c r="B20" s="109">
        <v>0</v>
      </c>
      <c r="C20" s="181" t="s">
        <v>102</v>
      </c>
      <c r="D20" s="181"/>
      <c r="E20" s="181"/>
      <c r="F20" s="181"/>
      <c r="G20" s="181"/>
      <c r="H20" s="181"/>
      <c r="I20" s="86">
        <f>+B20/LN</f>
        <v>0</v>
      </c>
      <c r="M20" s="30"/>
      <c r="N20" s="30"/>
      <c r="P20" s="30"/>
      <c r="Q20" s="30"/>
      <c r="R20" s="173"/>
      <c r="S20" s="173"/>
      <c r="T20" s="173"/>
      <c r="U20" s="173"/>
      <c r="V20" s="174"/>
      <c r="W20" s="46"/>
      <c r="X20" s="11"/>
      <c r="Y20" s="11"/>
      <c r="Z20" s="2"/>
      <c r="AA20" s="4"/>
      <c r="AB20" s="2"/>
      <c r="AC20" s="4"/>
      <c r="AD20" s="2"/>
      <c r="AE20" s="4"/>
      <c r="AF20" s="2"/>
      <c r="AG20" s="4"/>
      <c r="AH20" s="2"/>
      <c r="AI20" s="4"/>
      <c r="AJ20" s="2"/>
      <c r="AK20" s="4"/>
    </row>
    <row r="21" spans="1:37" s="29" customFormat="1" ht="13.5" customHeight="1">
      <c r="A21" s="101" t="s">
        <v>101</v>
      </c>
      <c r="B21" s="109">
        <v>0</v>
      </c>
      <c r="C21" s="181" t="s">
        <v>103</v>
      </c>
      <c r="D21" s="181"/>
      <c r="E21" s="181"/>
      <c r="F21" s="181"/>
      <c r="G21" s="181"/>
      <c r="H21" s="181"/>
      <c r="I21" s="86">
        <f>+B21/LN</f>
        <v>0</v>
      </c>
      <c r="K21" s="151" t="str">
        <f>+IF(B21+B20&gt;B19,"Bergbetrieb: Füllen Sie bitte den Fragebogen 'Berg' aus"," ")</f>
        <v> </v>
      </c>
      <c r="L21" s="151"/>
      <c r="M21" s="30"/>
      <c r="N21" s="30"/>
      <c r="P21" s="3" t="s">
        <v>212</v>
      </c>
      <c r="Q21" s="30"/>
      <c r="R21" s="183"/>
      <c r="S21" s="183"/>
      <c r="T21" s="183"/>
      <c r="U21" s="183"/>
      <c r="V21" s="183"/>
      <c r="W21" s="46"/>
      <c r="X21" s="11"/>
      <c r="Y21" s="11"/>
      <c r="Z21" s="2"/>
      <c r="AA21" s="4"/>
      <c r="AB21" s="2"/>
      <c r="AC21" s="4"/>
      <c r="AD21" s="2"/>
      <c r="AE21" s="4"/>
      <c r="AF21" s="2"/>
      <c r="AG21" s="4"/>
      <c r="AH21" s="2"/>
      <c r="AI21" s="4"/>
      <c r="AJ21" s="2"/>
      <c r="AK21" s="4"/>
    </row>
    <row r="22" spans="1:37" s="29" customFormat="1" ht="6" customHeight="1">
      <c r="A22" s="101"/>
      <c r="B22" s="64"/>
      <c r="C22" s="64"/>
      <c r="D22" s="91"/>
      <c r="E22" s="91"/>
      <c r="F22" s="92"/>
      <c r="G22" s="92"/>
      <c r="H22" s="92"/>
      <c r="K22" s="86"/>
      <c r="L22" s="92"/>
      <c r="M22" s="30"/>
      <c r="N22" s="30"/>
      <c r="P22" s="30"/>
      <c r="Q22" s="30"/>
      <c r="R22" s="30"/>
      <c r="S22" s="30"/>
      <c r="T22" s="30"/>
      <c r="U22" s="30"/>
      <c r="V22" s="46"/>
      <c r="W22" s="46"/>
      <c r="X22" s="11"/>
      <c r="Y22" s="11"/>
      <c r="Z22" s="2"/>
      <c r="AA22" s="4"/>
      <c r="AB22" s="2"/>
      <c r="AC22" s="4"/>
      <c r="AD22" s="2"/>
      <c r="AE22" s="4"/>
      <c r="AF22" s="2"/>
      <c r="AG22" s="4"/>
      <c r="AH22" s="2"/>
      <c r="AI22" s="4"/>
      <c r="AJ22" s="2"/>
      <c r="AK22" s="4"/>
    </row>
    <row r="23" spans="2:30" ht="16.5">
      <c r="B23" s="72" t="s">
        <v>45</v>
      </c>
      <c r="M23" s="20"/>
      <c r="P23" s="176" t="s">
        <v>213</v>
      </c>
      <c r="Q23" s="30"/>
      <c r="R23" s="183"/>
      <c r="S23" s="183"/>
      <c r="T23" s="183"/>
      <c r="U23" s="183"/>
      <c r="V23" s="183"/>
      <c r="W23" s="45"/>
      <c r="AD23" s="24"/>
    </row>
    <row r="24" spans="1:37" s="8" customFormat="1" ht="16.5">
      <c r="A24" s="80">
        <v>2</v>
      </c>
      <c r="B24" s="117">
        <v>1</v>
      </c>
      <c r="C24" s="8" t="s">
        <v>178</v>
      </c>
      <c r="D24" s="18"/>
      <c r="E24" s="19">
        <f>+B24/LN</f>
        <v>0.5</v>
      </c>
      <c r="F24" s="8" t="s">
        <v>0</v>
      </c>
      <c r="P24" s="3"/>
      <c r="Q24" s="3"/>
      <c r="R24" s="3"/>
      <c r="S24" s="3"/>
      <c r="T24" s="3"/>
      <c r="U24" s="3"/>
      <c r="W24" s="45"/>
      <c r="X24" s="10"/>
      <c r="Y24" s="10"/>
      <c r="Z24" s="10"/>
      <c r="AA24" s="67"/>
      <c r="AB24" s="10"/>
      <c r="AC24" s="67"/>
      <c r="AD24" s="10"/>
      <c r="AE24" s="67"/>
      <c r="AF24" s="10"/>
      <c r="AG24" s="67"/>
      <c r="AH24" s="10"/>
      <c r="AI24" s="67"/>
      <c r="AJ24" s="10"/>
      <c r="AK24" s="67"/>
    </row>
    <row r="25" spans="1:37" s="29" customFormat="1" ht="6" customHeight="1">
      <c r="A25" s="81"/>
      <c r="D25" s="38"/>
      <c r="E25" s="38"/>
      <c r="F25" s="38"/>
      <c r="G25" s="38"/>
      <c r="H25" s="38"/>
      <c r="L25" s="38"/>
      <c r="M25" s="30"/>
      <c r="N25" s="30"/>
      <c r="P25" s="30"/>
      <c r="Q25" s="30"/>
      <c r="R25" s="30"/>
      <c r="S25" s="30"/>
      <c r="T25" s="30"/>
      <c r="U25" s="30"/>
      <c r="V25" s="46"/>
      <c r="W25" s="46"/>
      <c r="X25" s="11"/>
      <c r="Y25" s="11"/>
      <c r="Z25" s="2"/>
      <c r="AA25" s="4"/>
      <c r="AB25" s="2"/>
      <c r="AC25" s="4"/>
      <c r="AD25" s="2"/>
      <c r="AE25" s="4"/>
      <c r="AF25" s="2"/>
      <c r="AG25" s="4"/>
      <c r="AH25" s="2"/>
      <c r="AI25" s="4"/>
      <c r="AJ25" s="2"/>
      <c r="AK25" s="4"/>
    </row>
    <row r="26" spans="1:37" s="14" customFormat="1" ht="19.5" customHeight="1">
      <c r="A26" s="13" t="s">
        <v>129</v>
      </c>
      <c r="C26" s="13"/>
      <c r="K26" s="124"/>
      <c r="M26" s="125" t="s">
        <v>13</v>
      </c>
      <c r="N26" s="95" t="s">
        <v>5</v>
      </c>
      <c r="O26" s="95"/>
      <c r="P26" s="95" t="s">
        <v>14</v>
      </c>
      <c r="Q26" s="95" t="s">
        <v>15</v>
      </c>
      <c r="R26" s="95" t="s">
        <v>16</v>
      </c>
      <c r="S26" s="95"/>
      <c r="T26" s="95"/>
      <c r="U26" s="95"/>
      <c r="V26" s="95" t="s">
        <v>19</v>
      </c>
      <c r="W26" s="95"/>
      <c r="X26" s="11"/>
      <c r="Y26" s="11"/>
      <c r="Z26" s="2"/>
      <c r="AA26" s="4"/>
      <c r="AB26" s="2"/>
      <c r="AC26" s="4"/>
      <c r="AD26" s="2"/>
      <c r="AE26" s="4"/>
      <c r="AF26" s="2"/>
      <c r="AG26" s="4"/>
      <c r="AH26" s="2"/>
      <c r="AI26" s="4"/>
      <c r="AJ26" s="2"/>
      <c r="AK26" s="4"/>
    </row>
    <row r="27" spans="1:37" s="29" customFormat="1" ht="6" customHeight="1">
      <c r="A27" s="81"/>
      <c r="D27" s="38"/>
      <c r="E27" s="38"/>
      <c r="F27" s="38"/>
      <c r="G27" s="38"/>
      <c r="H27" s="38"/>
      <c r="L27" s="38"/>
      <c r="M27" s="30"/>
      <c r="N27" s="30"/>
      <c r="P27" s="129"/>
      <c r="Q27" s="129"/>
      <c r="R27" s="129"/>
      <c r="S27" s="129"/>
      <c r="T27" s="129"/>
      <c r="U27" s="129"/>
      <c r="V27" s="130"/>
      <c r="W27" s="46"/>
      <c r="X27" s="11"/>
      <c r="Y27" s="11"/>
      <c r="Z27" s="2"/>
      <c r="AA27" s="4"/>
      <c r="AB27" s="2"/>
      <c r="AC27" s="4"/>
      <c r="AD27" s="2"/>
      <c r="AE27" s="4"/>
      <c r="AF27" s="2"/>
      <c r="AG27" s="4"/>
      <c r="AH27" s="2"/>
      <c r="AI27" s="4"/>
      <c r="AJ27" s="2"/>
      <c r="AK27" s="4"/>
    </row>
    <row r="28" spans="2:30" ht="16.5" hidden="1">
      <c r="B28" s="72" t="s">
        <v>45</v>
      </c>
      <c r="M28" s="20"/>
      <c r="P28" s="129"/>
      <c r="Q28" s="129"/>
      <c r="R28" s="129"/>
      <c r="S28" s="129"/>
      <c r="T28" s="129"/>
      <c r="U28" s="129"/>
      <c r="V28" s="131"/>
      <c r="W28" s="45"/>
      <c r="AD28" s="24"/>
    </row>
    <row r="29" spans="1:37" s="8" customFormat="1" ht="16.5" hidden="1">
      <c r="A29" s="80">
        <v>2</v>
      </c>
      <c r="B29" s="17">
        <v>9999</v>
      </c>
      <c r="C29" s="8" t="s">
        <v>28</v>
      </c>
      <c r="P29" s="132"/>
      <c r="Q29" s="132"/>
      <c r="R29" s="132"/>
      <c r="S29" s="132"/>
      <c r="T29" s="132"/>
      <c r="U29" s="132"/>
      <c r="V29" s="131"/>
      <c r="W29" s="45"/>
      <c r="X29" s="10"/>
      <c r="Y29" s="10"/>
      <c r="Z29" s="10"/>
      <c r="AA29" s="67"/>
      <c r="AB29" s="10"/>
      <c r="AC29" s="67"/>
      <c r="AD29" s="10"/>
      <c r="AE29" s="67"/>
      <c r="AF29" s="10"/>
      <c r="AG29" s="67"/>
      <c r="AH29" s="10"/>
      <c r="AI29" s="67"/>
      <c r="AJ29" s="10"/>
      <c r="AK29" s="67"/>
    </row>
    <row r="30" spans="1:37" s="8" customFormat="1" ht="16.5" hidden="1">
      <c r="A30" s="80"/>
      <c r="B30" s="3"/>
      <c r="C30" s="18" t="s">
        <v>2</v>
      </c>
      <c r="D30" s="19">
        <f>+B29/B13</f>
        <v>4999.5</v>
      </c>
      <c r="E30" s="8" t="s">
        <v>0</v>
      </c>
      <c r="M30" s="20">
        <f>+IF(D30&lt;AF30,AG30,IF(D30&lt;AD30,AE30,IF(D30&lt;=AB30,AC30,IF(D30&lt;=Z30,AA30,))))</f>
        <v>0</v>
      </c>
      <c r="N30" s="21">
        <f>IF(D30&lt;1,3,IF(D30&gt;1.5,0,3-(D30-1)*4))</f>
        <v>0</v>
      </c>
      <c r="P30" s="129" t="str">
        <f>+"&gt;"&amp;AB30&amp;"-"&amp;Z30</f>
        <v>&gt;1.3-1.6</v>
      </c>
      <c r="Q30" s="133" t="str">
        <f>+AD30&amp;"-"&amp;AB30</f>
        <v>1-1.3</v>
      </c>
      <c r="R30" s="129" t="str">
        <f>+AD30&amp;"-"&amp;AF30</f>
        <v>1-</v>
      </c>
      <c r="S30" s="129" t="str">
        <f>+"&lt;"&amp;AF30</f>
        <v>&lt;</v>
      </c>
      <c r="T30" s="134"/>
      <c r="U30" s="134"/>
      <c r="V30" s="131" t="s">
        <v>10</v>
      </c>
      <c r="W30" s="45"/>
      <c r="X30" s="77"/>
      <c r="Y30" s="22"/>
      <c r="Z30" s="10">
        <v>1.6</v>
      </c>
      <c r="AA30" s="67">
        <v>1</v>
      </c>
      <c r="AB30" s="10">
        <v>1.3</v>
      </c>
      <c r="AC30" s="67">
        <v>2</v>
      </c>
      <c r="AD30" s="23">
        <v>1</v>
      </c>
      <c r="AE30" s="67">
        <v>3</v>
      </c>
      <c r="AF30" s="10"/>
      <c r="AG30" s="67"/>
      <c r="AH30" s="10"/>
      <c r="AI30" s="67"/>
      <c r="AJ30" s="10"/>
      <c r="AK30" s="67"/>
    </row>
    <row r="31" spans="1:37" s="29" customFormat="1" ht="16.5" hidden="1">
      <c r="A31" s="81"/>
      <c r="D31" s="38"/>
      <c r="E31" s="38"/>
      <c r="F31" s="38"/>
      <c r="G31" s="38"/>
      <c r="H31" s="38"/>
      <c r="L31" s="38"/>
      <c r="M31" s="30"/>
      <c r="N31" s="30"/>
      <c r="P31" s="129"/>
      <c r="Q31" s="129"/>
      <c r="R31" s="129"/>
      <c r="S31" s="129"/>
      <c r="T31" s="129"/>
      <c r="U31" s="129"/>
      <c r="V31" s="130"/>
      <c r="W31" s="46"/>
      <c r="X31" s="11"/>
      <c r="Y31" s="11"/>
      <c r="Z31" s="2"/>
      <c r="AA31" s="4"/>
      <c r="AB31" s="2"/>
      <c r="AC31" s="4"/>
      <c r="AD31" s="2"/>
      <c r="AE31" s="4"/>
      <c r="AF31" s="2"/>
      <c r="AG31" s="4"/>
      <c r="AH31" s="2"/>
      <c r="AI31" s="4"/>
      <c r="AJ31" s="2"/>
      <c r="AK31" s="4"/>
    </row>
    <row r="32" spans="2:30" ht="16.5">
      <c r="B32" s="72" t="s">
        <v>46</v>
      </c>
      <c r="M32" s="20"/>
      <c r="P32" s="129"/>
      <c r="Q32" s="129"/>
      <c r="R32" s="129"/>
      <c r="S32" s="129"/>
      <c r="T32" s="129"/>
      <c r="U32" s="129"/>
      <c r="V32" s="131"/>
      <c r="W32" s="45"/>
      <c r="AD32" s="24"/>
    </row>
    <row r="33" spans="1:30" ht="16.5">
      <c r="A33" s="80">
        <v>3</v>
      </c>
      <c r="B33" s="25">
        <v>1</v>
      </c>
      <c r="C33" s="8" t="s">
        <v>144</v>
      </c>
      <c r="M33" s="20"/>
      <c r="P33" s="129"/>
      <c r="Q33" s="129"/>
      <c r="R33" s="129"/>
      <c r="S33" s="129"/>
      <c r="T33" s="129"/>
      <c r="U33" s="129"/>
      <c r="V33" s="131"/>
      <c r="W33" s="45"/>
      <c r="AD33" s="24"/>
    </row>
    <row r="34" spans="1:37" s="8" customFormat="1" ht="16.5">
      <c r="A34" s="80"/>
      <c r="B34" s="18" t="s">
        <v>2</v>
      </c>
      <c r="C34" s="19">
        <f>(LN-öAF_ohne_Bäume)/(Nutzungsparzellen)</f>
        <v>2</v>
      </c>
      <c r="D34" s="8" t="s">
        <v>1</v>
      </c>
      <c r="M34" s="20">
        <f>+IF(C34&lt;AD34,AE34,IF(C34&lt;AB34,AC34,IF(C34&lt;=Z34,AA34,)))</f>
        <v>0</v>
      </c>
      <c r="N34" s="20"/>
      <c r="P34" s="129" t="str">
        <f>AB34&amp;"-"&amp;Z34</f>
        <v>1.3-1.6</v>
      </c>
      <c r="Q34" s="133" t="str">
        <f>+AD34&amp;"-&lt;"&amp;AB34</f>
        <v>1-&lt;1.3</v>
      </c>
      <c r="R34" s="129" t="str">
        <f>+"&lt;"&amp;AD34</f>
        <v>&lt;1</v>
      </c>
      <c r="S34" s="135"/>
      <c r="T34" s="135"/>
      <c r="U34" s="135"/>
      <c r="V34" s="131" t="s">
        <v>199</v>
      </c>
      <c r="W34" s="45"/>
      <c r="X34" s="77">
        <v>2</v>
      </c>
      <c r="Y34" s="22"/>
      <c r="Z34" s="10">
        <v>1.6</v>
      </c>
      <c r="AA34" s="67">
        <v>1</v>
      </c>
      <c r="AB34" s="10">
        <v>1.3</v>
      </c>
      <c r="AC34" s="67">
        <v>2</v>
      </c>
      <c r="AD34" s="23">
        <v>1</v>
      </c>
      <c r="AE34" s="67">
        <v>3</v>
      </c>
      <c r="AF34" s="10"/>
      <c r="AG34" s="67"/>
      <c r="AH34" s="10"/>
      <c r="AI34" s="67"/>
      <c r="AJ34" s="10"/>
      <c r="AK34" s="67"/>
    </row>
    <row r="35" spans="1:37" s="29" customFormat="1" ht="6" customHeight="1">
      <c r="A35" s="81"/>
      <c r="D35" s="38"/>
      <c r="E35" s="38"/>
      <c r="F35" s="38"/>
      <c r="G35" s="38"/>
      <c r="H35" s="38"/>
      <c r="L35" s="38"/>
      <c r="M35" s="30"/>
      <c r="N35" s="30"/>
      <c r="P35" s="129"/>
      <c r="Q35" s="129"/>
      <c r="R35" s="129"/>
      <c r="S35" s="129"/>
      <c r="T35" s="129"/>
      <c r="U35" s="129"/>
      <c r="V35" s="130"/>
      <c r="W35" s="46"/>
      <c r="X35" s="11"/>
      <c r="Y35" s="11"/>
      <c r="Z35" s="2"/>
      <c r="AA35" s="4"/>
      <c r="AB35" s="2"/>
      <c r="AC35" s="4"/>
      <c r="AD35" s="2"/>
      <c r="AE35" s="4"/>
      <c r="AF35" s="2"/>
      <c r="AG35" s="4"/>
      <c r="AH35" s="2"/>
      <c r="AI35" s="4"/>
      <c r="AJ35" s="2"/>
      <c r="AK35" s="4"/>
    </row>
    <row r="36" spans="1:23" ht="16.5">
      <c r="A36" s="81"/>
      <c r="B36" s="72" t="s">
        <v>11</v>
      </c>
      <c r="P36" s="129"/>
      <c r="Q36" s="129"/>
      <c r="R36" s="129"/>
      <c r="S36" s="129"/>
      <c r="T36" s="129"/>
      <c r="U36" s="129"/>
      <c r="V36" s="131"/>
      <c r="W36" s="45"/>
    </row>
    <row r="37" spans="1:23" ht="16.5">
      <c r="A37" s="81"/>
      <c r="B37" s="8" t="s">
        <v>197</v>
      </c>
      <c r="P37" s="129"/>
      <c r="Q37" s="129"/>
      <c r="R37" s="129"/>
      <c r="S37" s="129"/>
      <c r="T37" s="129"/>
      <c r="U37" s="129"/>
      <c r="V37" s="131"/>
      <c r="W37" s="45"/>
    </row>
    <row r="38" spans="1:23" ht="20.25" customHeight="1">
      <c r="A38" s="81"/>
      <c r="B38" s="168" t="b">
        <v>0</v>
      </c>
      <c r="D38" s="8"/>
      <c r="E38" s="168" t="b">
        <v>0</v>
      </c>
      <c r="H38" s="8"/>
      <c r="I38" s="168" t="b">
        <v>0</v>
      </c>
      <c r="L38" s="5"/>
      <c r="P38" s="129"/>
      <c r="Q38" s="129"/>
      <c r="R38" s="129"/>
      <c r="S38" s="129"/>
      <c r="T38" s="129"/>
      <c r="U38" s="129"/>
      <c r="V38" s="131"/>
      <c r="W38" s="45"/>
    </row>
    <row r="39" spans="1:23" ht="15" customHeight="1">
      <c r="A39" s="81"/>
      <c r="B39" s="168" t="b">
        <v>0</v>
      </c>
      <c r="E39" s="168" t="b">
        <v>0</v>
      </c>
      <c r="I39" s="168" t="b">
        <v>0</v>
      </c>
      <c r="L39" s="5"/>
      <c r="P39" s="129"/>
      <c r="Q39" s="129"/>
      <c r="R39" s="129"/>
      <c r="S39" s="129"/>
      <c r="T39" s="129"/>
      <c r="U39" s="129"/>
      <c r="V39" s="131"/>
      <c r="W39" s="45"/>
    </row>
    <row r="40" spans="1:23" ht="15" customHeight="1">
      <c r="A40" s="81"/>
      <c r="B40" s="168" t="b">
        <v>0</v>
      </c>
      <c r="E40" s="168" t="b">
        <v>0</v>
      </c>
      <c r="F40" s="155"/>
      <c r="I40" s="168" t="b">
        <v>0</v>
      </c>
      <c r="J40" s="155"/>
      <c r="P40" s="129"/>
      <c r="Q40" s="129"/>
      <c r="R40" s="129"/>
      <c r="S40" s="129"/>
      <c r="T40" s="129"/>
      <c r="U40" s="129"/>
      <c r="V40" s="131"/>
      <c r="W40" s="45"/>
    </row>
    <row r="41" spans="1:32" ht="16.5" customHeight="1">
      <c r="A41" s="81">
        <v>4</v>
      </c>
      <c r="B41" s="3">
        <f>COUNTIF(A38:J40,TRUE)</f>
        <v>0</v>
      </c>
      <c r="C41" s="73" t="s">
        <v>11</v>
      </c>
      <c r="M41" s="20">
        <f>+IF(B41&lt;3,1,IF(B41&lt;6,2,3))</f>
        <v>1</v>
      </c>
      <c r="N41" s="20"/>
      <c r="P41" s="129" t="str">
        <f>+Z41&amp;"-"&amp;AB41</f>
        <v>1-2</v>
      </c>
      <c r="Q41" s="133" t="str">
        <f>+AB41+1&amp;"-"&amp;AD41</f>
        <v>3-5</v>
      </c>
      <c r="R41" s="136" t="str">
        <f>+"&gt;="&amp;AD41+1</f>
        <v>&gt;=6</v>
      </c>
      <c r="S41" s="129"/>
      <c r="T41" s="129"/>
      <c r="U41" s="129"/>
      <c r="V41" s="131" t="s">
        <v>200</v>
      </c>
      <c r="W41" s="45"/>
      <c r="X41" s="77">
        <v>2</v>
      </c>
      <c r="Y41" s="22"/>
      <c r="Z41" s="2">
        <v>1</v>
      </c>
      <c r="AA41" s="4">
        <v>1</v>
      </c>
      <c r="AB41" s="2">
        <v>2</v>
      </c>
      <c r="AC41" s="4">
        <v>2</v>
      </c>
      <c r="AD41" s="2">
        <v>5</v>
      </c>
      <c r="AE41" s="4">
        <v>3</v>
      </c>
      <c r="AF41" s="2">
        <v>7</v>
      </c>
    </row>
    <row r="42" spans="1:37" s="29" customFormat="1" ht="6" customHeight="1">
      <c r="A42" s="81"/>
      <c r="D42" s="38"/>
      <c r="E42" s="38"/>
      <c r="F42" s="38"/>
      <c r="G42" s="38"/>
      <c r="H42" s="38"/>
      <c r="L42" s="38"/>
      <c r="M42" s="30"/>
      <c r="N42" s="30"/>
      <c r="P42" s="129"/>
      <c r="Q42" s="129"/>
      <c r="R42" s="129"/>
      <c r="S42" s="129"/>
      <c r="T42" s="129"/>
      <c r="U42" s="129"/>
      <c r="V42" s="130"/>
      <c r="W42" s="46"/>
      <c r="X42" s="11"/>
      <c r="Y42" s="11"/>
      <c r="Z42" s="2"/>
      <c r="AA42" s="4"/>
      <c r="AB42" s="2"/>
      <c r="AC42" s="4"/>
      <c r="AD42" s="2"/>
      <c r="AE42" s="4"/>
      <c r="AF42" s="2"/>
      <c r="AG42" s="4"/>
      <c r="AH42" s="2"/>
      <c r="AI42" s="4"/>
      <c r="AJ42" s="2"/>
      <c r="AK42" s="4"/>
    </row>
    <row r="43" spans="1:37" s="14" customFormat="1" ht="15.75">
      <c r="A43" s="13" t="s">
        <v>125</v>
      </c>
      <c r="C43" s="13"/>
      <c r="K43" s="124"/>
      <c r="M43" s="125" t="s">
        <v>13</v>
      </c>
      <c r="N43" s="125" t="s">
        <v>5</v>
      </c>
      <c r="O43" s="125" t="s">
        <v>137</v>
      </c>
      <c r="P43" s="95" t="s">
        <v>14</v>
      </c>
      <c r="Q43" s="95" t="s">
        <v>15</v>
      </c>
      <c r="R43" s="95" t="s">
        <v>16</v>
      </c>
      <c r="S43" s="95" t="s">
        <v>17</v>
      </c>
      <c r="T43" s="95" t="s">
        <v>18</v>
      </c>
      <c r="U43" s="95" t="s">
        <v>22</v>
      </c>
      <c r="V43" s="95" t="s">
        <v>19</v>
      </c>
      <c r="W43" s="95"/>
      <c r="X43" s="11"/>
      <c r="Y43" s="11"/>
      <c r="Z43" s="2"/>
      <c r="AA43" s="4"/>
      <c r="AB43" s="2"/>
      <c r="AC43" s="4"/>
      <c r="AD43" s="2"/>
      <c r="AE43" s="4"/>
      <c r="AF43" s="2"/>
      <c r="AG43" s="4"/>
      <c r="AH43" s="2"/>
      <c r="AI43" s="4"/>
      <c r="AJ43" s="2"/>
      <c r="AK43" s="4"/>
    </row>
    <row r="44" spans="1:37" s="29" customFormat="1" ht="6" customHeight="1">
      <c r="A44" s="81"/>
      <c r="D44" s="38"/>
      <c r="E44" s="38"/>
      <c r="F44" s="38"/>
      <c r="G44" s="38"/>
      <c r="H44" s="38"/>
      <c r="L44" s="38"/>
      <c r="M44" s="30"/>
      <c r="N44" s="30"/>
      <c r="P44" s="129"/>
      <c r="Q44" s="129"/>
      <c r="R44" s="129"/>
      <c r="S44" s="129"/>
      <c r="T44" s="129"/>
      <c r="U44" s="129"/>
      <c r="V44" s="130"/>
      <c r="W44" s="46"/>
      <c r="X44" s="11"/>
      <c r="Y44" s="11"/>
      <c r="Z44" s="2"/>
      <c r="AA44" s="4"/>
      <c r="AB44" s="2"/>
      <c r="AC44" s="4"/>
      <c r="AD44" s="2"/>
      <c r="AE44" s="4"/>
      <c r="AF44" s="2"/>
      <c r="AG44" s="4"/>
      <c r="AH44" s="2"/>
      <c r="AI44" s="4"/>
      <c r="AJ44" s="2"/>
      <c r="AK44" s="4"/>
    </row>
    <row r="45" spans="1:23" ht="16.5">
      <c r="A45" s="80">
        <v>5</v>
      </c>
      <c r="B45" s="72" t="s">
        <v>177</v>
      </c>
      <c r="I45" s="78"/>
      <c r="J45" s="78"/>
      <c r="K45" s="78"/>
      <c r="P45" s="129"/>
      <c r="Q45" s="129"/>
      <c r="R45" s="129"/>
      <c r="S45" s="129"/>
      <c r="T45" s="129"/>
      <c r="U45" s="129"/>
      <c r="V45" s="131"/>
      <c r="W45" s="45"/>
    </row>
    <row r="46" spans="2:23" ht="16.5">
      <c r="B46" s="8" t="s">
        <v>143</v>
      </c>
      <c r="E46" s="63" t="s">
        <v>33</v>
      </c>
      <c r="F46" s="63"/>
      <c r="G46" s="63" t="s">
        <v>110</v>
      </c>
      <c r="H46" s="63"/>
      <c r="I46" s="63" t="s">
        <v>111</v>
      </c>
      <c r="J46" s="78"/>
      <c r="K46" s="63" t="s">
        <v>112</v>
      </c>
      <c r="L46" s="63"/>
      <c r="M46" s="63" t="s">
        <v>168</v>
      </c>
      <c r="P46" s="129"/>
      <c r="Q46" s="129"/>
      <c r="R46" s="129"/>
      <c r="S46" s="129"/>
      <c r="T46" s="129"/>
      <c r="U46" s="129"/>
      <c r="V46" s="131"/>
      <c r="W46" s="45"/>
    </row>
    <row r="47" spans="2:23" ht="16.5">
      <c r="B47" s="8"/>
      <c r="E47" s="63"/>
      <c r="F47" s="63"/>
      <c r="G47" s="63" t="s">
        <v>33</v>
      </c>
      <c r="H47" s="63"/>
      <c r="I47" s="63" t="s">
        <v>34</v>
      </c>
      <c r="J47" s="78"/>
      <c r="K47" s="63" t="s">
        <v>34</v>
      </c>
      <c r="L47" s="63"/>
      <c r="M47" s="161" t="s">
        <v>169</v>
      </c>
      <c r="P47" s="129"/>
      <c r="Q47" s="129"/>
      <c r="R47" s="129"/>
      <c r="S47" s="129"/>
      <c r="T47" s="129"/>
      <c r="U47" s="129"/>
      <c r="V47" s="131"/>
      <c r="W47" s="45"/>
    </row>
    <row r="48" spans="2:23" ht="5.25" customHeight="1">
      <c r="B48" s="8"/>
      <c r="E48" s="63"/>
      <c r="F48" s="63"/>
      <c r="G48" s="63"/>
      <c r="H48" s="63"/>
      <c r="J48" s="78"/>
      <c r="L48" s="162"/>
      <c r="P48" s="129"/>
      <c r="Q48" s="129"/>
      <c r="R48" s="129"/>
      <c r="S48" s="129"/>
      <c r="T48" s="129"/>
      <c r="U48" s="129"/>
      <c r="V48" s="131"/>
      <c r="W48" s="45"/>
    </row>
    <row r="49" spans="1:23" ht="16.5">
      <c r="A49" s="80">
        <v>5.1</v>
      </c>
      <c r="B49" s="8" t="s">
        <v>50</v>
      </c>
      <c r="E49" s="109">
        <v>0</v>
      </c>
      <c r="F49" s="63">
        <v>0</v>
      </c>
      <c r="G49" s="109">
        <v>0</v>
      </c>
      <c r="H49" s="63"/>
      <c r="I49" s="109">
        <v>0</v>
      </c>
      <c r="J49" s="78"/>
      <c r="K49" s="109">
        <v>0</v>
      </c>
      <c r="L49" s="162"/>
      <c r="M49" s="109">
        <v>0</v>
      </c>
      <c r="O49" s="152">
        <f aca="true" t="shared" si="0" ref="O49:O58">+IF(I49+K49&gt;E49+G49,"Fläche mit Qualität darf nicht grösser sein als Gesamtfläche!","")</f>
      </c>
      <c r="P49" s="129"/>
      <c r="Q49" s="129"/>
      <c r="R49" s="129"/>
      <c r="S49" s="129"/>
      <c r="T49" s="129"/>
      <c r="U49" s="129"/>
      <c r="V49" s="131"/>
      <c r="W49" s="45"/>
    </row>
    <row r="50" spans="1:23" ht="16.5">
      <c r="A50" s="80">
        <v>5.2</v>
      </c>
      <c r="B50" s="8" t="s">
        <v>51</v>
      </c>
      <c r="E50" s="109">
        <v>0</v>
      </c>
      <c r="F50" s="63">
        <v>0</v>
      </c>
      <c r="G50" s="109">
        <v>0</v>
      </c>
      <c r="H50" s="63"/>
      <c r="I50" s="109">
        <v>0</v>
      </c>
      <c r="J50" s="78"/>
      <c r="K50" s="109">
        <v>0</v>
      </c>
      <c r="L50" s="162"/>
      <c r="M50" s="109">
        <v>0</v>
      </c>
      <c r="O50" s="152">
        <f t="shared" si="0"/>
      </c>
      <c r="P50" s="129"/>
      <c r="Q50" s="129"/>
      <c r="R50" s="129"/>
      <c r="S50" s="129"/>
      <c r="T50" s="129"/>
      <c r="U50" s="129"/>
      <c r="V50" s="131"/>
      <c r="W50" s="45"/>
    </row>
    <row r="51" spans="1:23" ht="16.5">
      <c r="A51" s="80">
        <v>5.3</v>
      </c>
      <c r="B51" s="8" t="s">
        <v>187</v>
      </c>
      <c r="E51" s="109">
        <v>0</v>
      </c>
      <c r="F51" s="63">
        <v>0</v>
      </c>
      <c r="G51" s="109">
        <v>0</v>
      </c>
      <c r="H51" s="63"/>
      <c r="I51" s="109">
        <v>0</v>
      </c>
      <c r="J51" s="78"/>
      <c r="K51" s="109">
        <v>0</v>
      </c>
      <c r="L51" s="162"/>
      <c r="M51" s="109">
        <v>0</v>
      </c>
      <c r="O51" s="152">
        <f t="shared" si="0"/>
      </c>
      <c r="P51" s="129"/>
      <c r="Q51" s="129"/>
      <c r="R51" s="129"/>
      <c r="S51" s="129"/>
      <c r="T51" s="129"/>
      <c r="U51" s="129"/>
      <c r="V51" s="131"/>
      <c r="W51" s="45"/>
    </row>
    <row r="52" spans="1:23" ht="16.5">
      <c r="A52" s="80">
        <v>5.4</v>
      </c>
      <c r="B52" s="8" t="s">
        <v>52</v>
      </c>
      <c r="E52" s="109">
        <v>0</v>
      </c>
      <c r="F52" s="63"/>
      <c r="G52" s="29"/>
      <c r="H52" s="63"/>
      <c r="J52" s="78"/>
      <c r="K52" s="110">
        <f>+G52+E52</f>
        <v>0</v>
      </c>
      <c r="L52" s="162"/>
      <c r="M52" s="110">
        <f>+E52+G52</f>
        <v>0</v>
      </c>
      <c r="O52" s="152">
        <f t="shared" si="0"/>
      </c>
      <c r="P52" s="129"/>
      <c r="Q52" s="129"/>
      <c r="R52" s="129"/>
      <c r="S52" s="129"/>
      <c r="T52" s="129"/>
      <c r="U52" s="129"/>
      <c r="V52" s="131"/>
      <c r="W52" s="45"/>
    </row>
    <row r="53" spans="1:23" ht="16.5">
      <c r="A53" s="80">
        <v>5.5</v>
      </c>
      <c r="B53" s="8" t="s">
        <v>53</v>
      </c>
      <c r="E53" s="109">
        <v>0</v>
      </c>
      <c r="F53" s="63"/>
      <c r="G53" s="29"/>
      <c r="H53" s="63"/>
      <c r="J53" s="78"/>
      <c r="K53" s="110">
        <f>+G53+E53</f>
        <v>0</v>
      </c>
      <c r="L53" s="162"/>
      <c r="M53" s="110">
        <f>+E53+G53</f>
        <v>0</v>
      </c>
      <c r="O53" s="152">
        <f t="shared" si="0"/>
      </c>
      <c r="P53" s="129"/>
      <c r="Q53" s="129"/>
      <c r="R53" s="129"/>
      <c r="S53" s="129"/>
      <c r="T53" s="129"/>
      <c r="U53" s="129"/>
      <c r="V53" s="131"/>
      <c r="W53" s="45"/>
    </row>
    <row r="54" spans="1:23" ht="16.5">
      <c r="A54" s="80">
        <v>5.6</v>
      </c>
      <c r="B54" s="73" t="s">
        <v>149</v>
      </c>
      <c r="E54" s="109">
        <v>0</v>
      </c>
      <c r="F54" s="63"/>
      <c r="G54" s="29"/>
      <c r="H54" s="63"/>
      <c r="J54" s="78"/>
      <c r="K54" s="110">
        <f>+G54+E54</f>
        <v>0</v>
      </c>
      <c r="L54" s="162"/>
      <c r="M54" s="110">
        <f>+E54+G54</f>
        <v>0</v>
      </c>
      <c r="O54" s="152">
        <f t="shared" si="0"/>
      </c>
      <c r="P54" s="129"/>
      <c r="Q54" s="129"/>
      <c r="R54" s="129"/>
      <c r="S54" s="129"/>
      <c r="T54" s="129"/>
      <c r="U54" s="129"/>
      <c r="V54" s="131"/>
      <c r="W54" s="45"/>
    </row>
    <row r="55" spans="1:23" ht="16.5">
      <c r="A55" s="81">
        <v>5.7</v>
      </c>
      <c r="B55" s="8" t="s">
        <v>54</v>
      </c>
      <c r="E55" s="109">
        <v>0</v>
      </c>
      <c r="F55" s="63"/>
      <c r="G55" s="29"/>
      <c r="H55" s="63"/>
      <c r="J55" s="78"/>
      <c r="K55" s="110">
        <f>+G55+E55</f>
        <v>0</v>
      </c>
      <c r="L55" s="162"/>
      <c r="M55" s="3"/>
      <c r="O55" s="152">
        <f t="shared" si="0"/>
      </c>
      <c r="P55" s="129"/>
      <c r="Q55" s="129"/>
      <c r="R55" s="129"/>
      <c r="S55" s="129"/>
      <c r="T55" s="129"/>
      <c r="U55" s="129"/>
      <c r="V55" s="131"/>
      <c r="W55" s="45"/>
    </row>
    <row r="56" spans="1:23" ht="16.5">
      <c r="A56" s="80">
        <v>5.8</v>
      </c>
      <c r="B56" s="8" t="s">
        <v>55</v>
      </c>
      <c r="E56" s="109">
        <v>0</v>
      </c>
      <c r="F56" s="63"/>
      <c r="G56" s="109">
        <v>0</v>
      </c>
      <c r="H56" s="63"/>
      <c r="I56" s="109">
        <v>0</v>
      </c>
      <c r="J56" s="78"/>
      <c r="K56" s="109">
        <v>0</v>
      </c>
      <c r="L56" s="162"/>
      <c r="M56" s="109">
        <v>0</v>
      </c>
      <c r="O56" s="152">
        <f t="shared" si="0"/>
      </c>
      <c r="P56" s="129"/>
      <c r="Q56" s="129"/>
      <c r="R56" s="129"/>
      <c r="S56" s="129"/>
      <c r="T56" s="129"/>
      <c r="U56" s="129"/>
      <c r="V56" s="131"/>
      <c r="W56" s="45"/>
    </row>
    <row r="57" spans="1:23" ht="16.5">
      <c r="A57" s="80">
        <v>5.9</v>
      </c>
      <c r="B57" s="8" t="s">
        <v>56</v>
      </c>
      <c r="E57" s="109">
        <v>0</v>
      </c>
      <c r="F57" s="63"/>
      <c r="G57" s="109">
        <v>0</v>
      </c>
      <c r="H57" s="63"/>
      <c r="I57" s="109">
        <v>0</v>
      </c>
      <c r="J57" s="78"/>
      <c r="K57" s="110">
        <f>+E57+Streuefläche-I57</f>
        <v>0</v>
      </c>
      <c r="L57" s="162"/>
      <c r="M57" s="109">
        <v>0</v>
      </c>
      <c r="O57" s="152">
        <f t="shared" si="0"/>
      </c>
      <c r="P57" s="129"/>
      <c r="Q57" s="129"/>
      <c r="R57" s="129"/>
      <c r="S57" s="129"/>
      <c r="T57" s="129"/>
      <c r="U57" s="129"/>
      <c r="V57" s="131"/>
      <c r="W57" s="45"/>
    </row>
    <row r="58" spans="1:23" ht="16.5">
      <c r="A58" s="85" t="s">
        <v>47</v>
      </c>
      <c r="B58" s="8" t="s">
        <v>189</v>
      </c>
      <c r="E58" s="109">
        <v>0</v>
      </c>
      <c r="F58" s="63"/>
      <c r="G58" s="109">
        <v>0</v>
      </c>
      <c r="H58" s="63"/>
      <c r="I58" s="109">
        <v>0</v>
      </c>
      <c r="J58" s="78"/>
      <c r="L58" s="162"/>
      <c r="M58" s="109">
        <v>0</v>
      </c>
      <c r="O58" s="152">
        <f t="shared" si="0"/>
      </c>
      <c r="P58" s="129"/>
      <c r="Q58" s="129"/>
      <c r="R58" s="129"/>
      <c r="S58" s="129"/>
      <c r="T58" s="129"/>
      <c r="U58" s="129"/>
      <c r="V58" s="131"/>
      <c r="W58" s="45"/>
    </row>
    <row r="59" spans="1:23" ht="16.5">
      <c r="A59" s="83" t="s">
        <v>48</v>
      </c>
      <c r="B59" s="73" t="s">
        <v>57</v>
      </c>
      <c r="E59" s="109">
        <v>0</v>
      </c>
      <c r="F59" s="63"/>
      <c r="G59" s="109">
        <v>0</v>
      </c>
      <c r="H59" s="63"/>
      <c r="I59" s="5"/>
      <c r="J59" s="5"/>
      <c r="K59" s="110">
        <f>+E59</f>
        <v>0</v>
      </c>
      <c r="L59" s="162"/>
      <c r="M59" s="3"/>
      <c r="O59" s="152">
        <f>+IF(I59+K59&gt;E59+G59,"Fläche mit Qualität darf nicht grösser sein als Gesamtfläche!","")</f>
      </c>
      <c r="P59" s="129"/>
      <c r="Q59" s="129"/>
      <c r="R59" s="129"/>
      <c r="S59" s="129"/>
      <c r="T59" s="129"/>
      <c r="U59" s="129"/>
      <c r="V59" s="131"/>
      <c r="W59" s="45"/>
    </row>
    <row r="60" spans="1:23" ht="16.5">
      <c r="A60" s="83" t="s">
        <v>49</v>
      </c>
      <c r="B60" s="73" t="s">
        <v>188</v>
      </c>
      <c r="D60" s="8"/>
      <c r="E60" s="25">
        <v>0</v>
      </c>
      <c r="F60" s="63"/>
      <c r="G60" s="25">
        <v>0</v>
      </c>
      <c r="H60" s="63"/>
      <c r="I60" s="25">
        <v>0</v>
      </c>
      <c r="J60" s="5"/>
      <c r="K60" s="5"/>
      <c r="L60" s="162"/>
      <c r="M60" s="3"/>
      <c r="O60" s="152">
        <f>+IF(I60+K60&gt;E60+G60,"Anzahl Bäume mit Qualität darf nicht grösser sein als Anz. Bäume total!","")</f>
      </c>
      <c r="P60" s="129"/>
      <c r="Q60" s="129"/>
      <c r="R60" s="129"/>
      <c r="S60" s="129"/>
      <c r="T60" s="129"/>
      <c r="U60" s="129"/>
      <c r="V60" s="131"/>
      <c r="W60" s="45"/>
    </row>
    <row r="61" spans="1:23" ht="16.5">
      <c r="A61" s="83"/>
      <c r="B61" s="18" t="s">
        <v>2</v>
      </c>
      <c r="C61" s="8" t="s">
        <v>109</v>
      </c>
      <c r="E61" s="110">
        <f>+E60*0.01</f>
        <v>0</v>
      </c>
      <c r="F61" s="5"/>
      <c r="G61" s="110">
        <f>+G60*0.01</f>
        <v>0</v>
      </c>
      <c r="H61" s="5"/>
      <c r="I61" s="110">
        <f>+I60*0.01</f>
        <v>0</v>
      </c>
      <c r="J61" s="5"/>
      <c r="K61" s="5"/>
      <c r="L61" s="5"/>
      <c r="M61" s="110"/>
      <c r="O61" s="152"/>
      <c r="P61" s="129"/>
      <c r="Q61" s="129"/>
      <c r="R61" s="129"/>
      <c r="S61" s="129"/>
      <c r="T61" s="129"/>
      <c r="U61" s="129"/>
      <c r="V61" s="131"/>
      <c r="W61" s="45"/>
    </row>
    <row r="62" spans="2:23" ht="9" customHeight="1">
      <c r="B62" s="9"/>
      <c r="C62" s="63"/>
      <c r="P62" s="129"/>
      <c r="Q62" s="129"/>
      <c r="R62" s="129"/>
      <c r="S62" s="129"/>
      <c r="T62" s="129"/>
      <c r="U62" s="129"/>
      <c r="V62" s="131"/>
      <c r="W62" s="45"/>
    </row>
    <row r="63" spans="1:23" ht="16.5">
      <c r="A63" s="83" t="s">
        <v>167</v>
      </c>
      <c r="B63" s="8" t="s">
        <v>190</v>
      </c>
      <c r="G63" s="110">
        <f>+SUM(E49:G59)</f>
        <v>0</v>
      </c>
      <c r="H63" s="8"/>
      <c r="I63" s="110"/>
      <c r="K63" s="110"/>
      <c r="L63" s="8"/>
      <c r="M63" s="110">
        <f>SUM(M49:M61)</f>
        <v>0</v>
      </c>
      <c r="P63" s="129"/>
      <c r="Q63" s="129"/>
      <c r="R63" s="129"/>
      <c r="S63" s="129"/>
      <c r="T63" s="129"/>
      <c r="U63" s="129"/>
      <c r="V63" s="131"/>
      <c r="W63" s="45"/>
    </row>
    <row r="64" spans="1:25" ht="16.5">
      <c r="A64" s="83" t="s">
        <v>82</v>
      </c>
      <c r="B64" s="8" t="s">
        <v>35</v>
      </c>
      <c r="G64" s="26">
        <f>+G63/LN</f>
        <v>0</v>
      </c>
      <c r="H64" s="8"/>
      <c r="I64" s="26"/>
      <c r="L64" s="8"/>
      <c r="M64" s="119"/>
      <c r="P64" s="129"/>
      <c r="Q64" s="129"/>
      <c r="R64" s="129"/>
      <c r="S64" s="129"/>
      <c r="T64" s="129"/>
      <c r="U64" s="129"/>
      <c r="V64" s="131"/>
      <c r="W64" s="45"/>
      <c r="Y64" s="11">
        <f>+IF(G64&lt;=0.056,1,0)</f>
        <v>1</v>
      </c>
    </row>
    <row r="65" spans="2:23" ht="5.25" customHeight="1">
      <c r="B65" s="9"/>
      <c r="C65" s="63"/>
      <c r="G65" s="8"/>
      <c r="H65" s="8"/>
      <c r="I65" s="8"/>
      <c r="L65" s="8"/>
      <c r="P65" s="129"/>
      <c r="Q65" s="129"/>
      <c r="R65" s="129"/>
      <c r="S65" s="129"/>
      <c r="T65" s="129"/>
      <c r="U65" s="129"/>
      <c r="V65" s="131"/>
      <c r="W65" s="45"/>
    </row>
    <row r="66" spans="1:25" ht="16.5">
      <c r="A66" s="80">
        <v>5.14</v>
      </c>
      <c r="B66" s="8" t="s">
        <v>191</v>
      </c>
      <c r="E66" s="63"/>
      <c r="G66" s="110">
        <f>+öAF_ohne_Bäume+E61+G61</f>
        <v>0</v>
      </c>
      <c r="H66" s="8"/>
      <c r="I66" s="8"/>
      <c r="L66" s="8"/>
      <c r="M66" s="119"/>
      <c r="N66" s="30"/>
      <c r="P66" s="129"/>
      <c r="Q66" s="129"/>
      <c r="R66" s="129"/>
      <c r="S66" s="129"/>
      <c r="T66" s="129"/>
      <c r="U66" s="129"/>
      <c r="V66" s="131"/>
      <c r="W66" s="45"/>
      <c r="Y66" s="11">
        <f>+IF(G63/LN&lt;0.072,1,0)</f>
        <v>1</v>
      </c>
    </row>
    <row r="67" spans="1:37" ht="16.5">
      <c r="A67" s="80" t="s">
        <v>59</v>
      </c>
      <c r="B67" s="8" t="s">
        <v>35</v>
      </c>
      <c r="G67" s="26">
        <f>+G66/LN</f>
        <v>0</v>
      </c>
      <c r="H67" s="8"/>
      <c r="I67" s="26"/>
      <c r="L67" s="8"/>
      <c r="M67" s="20">
        <f>+IF(G67&gt;AJ67,AK67,IF(G67&gt;AH67,AI67,IF(G67&gt;AF67,AG67,IF(G67&gt;AD67,AE67,IF(G67&gt;AB67,AC67,IF(G67&gt;=Z67,AA67,0))))))</f>
        <v>0</v>
      </c>
      <c r="N67" s="21">
        <f>+IF(G67&lt;0.09,0,2+(G67-0.09)*33.333)</f>
        <v>0</v>
      </c>
      <c r="P67" s="136" t="str">
        <f>+Z67*100&amp;"-"&amp;AB67*100</f>
        <v>7-9</v>
      </c>
      <c r="Q67" s="139" t="str">
        <f>+"&gt;"&amp;AB67*100&amp;"-"&amp;AD67*100</f>
        <v>&gt;9-12</v>
      </c>
      <c r="R67" s="129" t="str">
        <f>+"&gt;"&amp;AD67*100&amp;"-"&amp;AF67*100</f>
        <v>&gt;12-15</v>
      </c>
      <c r="S67" s="129" t="str">
        <f>+"&gt;"&amp;AF67*100&amp;"-"&amp;AH67*100</f>
        <v>&gt;15-18</v>
      </c>
      <c r="T67" s="129" t="str">
        <f>+"&gt;"&amp;AH67*100&amp;"-"&amp;AJ67*100</f>
        <v>&gt;18-21</v>
      </c>
      <c r="U67" s="129" t="str">
        <f>+"&gt;"&amp;AJ67*100</f>
        <v>&gt;21</v>
      </c>
      <c r="V67" s="131" t="s">
        <v>67</v>
      </c>
      <c r="W67" s="45"/>
      <c r="X67" s="77">
        <v>2</v>
      </c>
      <c r="Y67" s="22"/>
      <c r="Z67" s="28">
        <v>0.07</v>
      </c>
      <c r="AA67" s="67">
        <v>1</v>
      </c>
      <c r="AB67" s="28">
        <v>0.09</v>
      </c>
      <c r="AC67" s="67">
        <v>2</v>
      </c>
      <c r="AD67" s="28">
        <v>0.12</v>
      </c>
      <c r="AE67" s="67">
        <v>3</v>
      </c>
      <c r="AF67" s="28">
        <v>0.15</v>
      </c>
      <c r="AG67" s="67">
        <v>4</v>
      </c>
      <c r="AH67" s="28">
        <v>0.18</v>
      </c>
      <c r="AI67" s="67">
        <v>5</v>
      </c>
      <c r="AJ67" s="28">
        <v>0.21</v>
      </c>
      <c r="AK67" s="67">
        <v>6</v>
      </c>
    </row>
    <row r="68" spans="2:23" ht="5.25" customHeight="1">
      <c r="B68" s="9"/>
      <c r="C68" s="63"/>
      <c r="G68" s="8"/>
      <c r="H68" s="8"/>
      <c r="I68" s="8"/>
      <c r="L68" s="8"/>
      <c r="P68" s="129"/>
      <c r="Q68" s="129"/>
      <c r="R68" s="129"/>
      <c r="S68" s="129"/>
      <c r="T68" s="129"/>
      <c r="U68" s="129"/>
      <c r="V68" s="131"/>
      <c r="W68" s="45"/>
    </row>
    <row r="69" spans="1:23" ht="16.5">
      <c r="A69" s="80">
        <v>5.15</v>
      </c>
      <c r="B69" s="8" t="s">
        <v>192</v>
      </c>
      <c r="G69" s="110">
        <f>+E52+E53+E54+E55+G52+G53+G54+G55</f>
        <v>0</v>
      </c>
      <c r="H69" s="8"/>
      <c r="I69" s="8"/>
      <c r="L69" s="8"/>
      <c r="M69" s="65"/>
      <c r="N69" s="30"/>
      <c r="P69" s="129"/>
      <c r="Q69" s="129"/>
      <c r="R69" s="129"/>
      <c r="S69" s="129"/>
      <c r="T69" s="129"/>
      <c r="U69" s="129"/>
      <c r="V69" s="131"/>
      <c r="W69" s="45"/>
    </row>
    <row r="70" spans="1:25" ht="16.5">
      <c r="A70" s="83" t="s">
        <v>60</v>
      </c>
      <c r="B70" s="8" t="s">
        <v>58</v>
      </c>
      <c r="G70" s="26">
        <f>+IF(Ackerfläche&gt;0,G69/Ackerfläche,0)</f>
        <v>0</v>
      </c>
      <c r="H70" s="8"/>
      <c r="I70" s="8"/>
      <c r="L70" s="8"/>
      <c r="M70" s="119"/>
      <c r="N70" s="30"/>
      <c r="P70" s="129"/>
      <c r="Q70" s="129"/>
      <c r="R70" s="129"/>
      <c r="S70" s="129"/>
      <c r="T70" s="129"/>
      <c r="U70" s="129"/>
      <c r="V70" s="131"/>
      <c r="W70" s="45"/>
      <c r="Y70" s="11">
        <f>+IF(Ackerfläche&lt;=3,0,IF(G70&gt;=0.03,0,1))</f>
        <v>0</v>
      </c>
    </row>
    <row r="71" spans="2:23" ht="5.25" customHeight="1">
      <c r="B71" s="9"/>
      <c r="C71" s="63"/>
      <c r="G71" s="8"/>
      <c r="H71" s="8"/>
      <c r="I71" s="8"/>
      <c r="L71" s="8"/>
      <c r="P71" s="129"/>
      <c r="Q71" s="129"/>
      <c r="R71" s="129"/>
      <c r="S71" s="129"/>
      <c r="T71" s="129"/>
      <c r="U71" s="129"/>
      <c r="V71" s="131"/>
      <c r="W71" s="45"/>
    </row>
    <row r="72" spans="1:37" s="8" customFormat="1" ht="16.5">
      <c r="A72" s="83">
        <v>5.16</v>
      </c>
      <c r="B72" s="181" t="s">
        <v>193</v>
      </c>
      <c r="C72" s="181"/>
      <c r="D72" s="181"/>
      <c r="E72" s="181"/>
      <c r="F72" s="181"/>
      <c r="G72" s="110">
        <f>+E49+E50+E51+E56+E57+G49+G50+G51++G56+G57</f>
        <v>0</v>
      </c>
      <c r="I72" s="102">
        <f>+IF(G73&gt;1,"Achtung: mehr Ökoflächen auf Dauergrünland angegeben als Dauergrünland vorhanden ist!","")</f>
      </c>
      <c r="M72" s="64"/>
      <c r="P72" s="129"/>
      <c r="Q72" s="129"/>
      <c r="R72" s="129"/>
      <c r="S72" s="129"/>
      <c r="T72" s="129"/>
      <c r="U72" s="129"/>
      <c r="V72" s="131"/>
      <c r="W72" s="45"/>
      <c r="X72" s="10"/>
      <c r="Y72" s="11"/>
      <c r="Z72" s="10"/>
      <c r="AA72" s="67"/>
      <c r="AB72" s="10"/>
      <c r="AC72" s="67"/>
      <c r="AD72" s="10"/>
      <c r="AE72" s="67"/>
      <c r="AF72" s="10"/>
      <c r="AG72" s="67"/>
      <c r="AH72" s="10"/>
      <c r="AI72" s="67"/>
      <c r="AJ72" s="10"/>
      <c r="AK72" s="67"/>
    </row>
    <row r="73" spans="1:37" s="8" customFormat="1" ht="16.5">
      <c r="A73" s="80" t="s">
        <v>62</v>
      </c>
      <c r="B73" s="8" t="s">
        <v>61</v>
      </c>
      <c r="C73" s="3"/>
      <c r="D73" s="3"/>
      <c r="E73" s="3"/>
      <c r="F73" s="3"/>
      <c r="G73" s="26">
        <f>+IF(Dauergründland_plus_Streuefläche&gt;0,G72/Dauergründland_plus_Streuefläche,0)</f>
        <v>0</v>
      </c>
      <c r="M73" s="119"/>
      <c r="P73" s="129"/>
      <c r="Q73" s="129"/>
      <c r="R73" s="129"/>
      <c r="S73" s="129"/>
      <c r="T73" s="129"/>
      <c r="U73" s="129"/>
      <c r="V73" s="131"/>
      <c r="W73" s="45"/>
      <c r="X73" s="10"/>
      <c r="Y73" s="11">
        <f>+IF(Dauergrünland&lt;=3,0,IF(G73&gt;=0.09,,1))</f>
        <v>0</v>
      </c>
      <c r="Z73" s="10"/>
      <c r="AA73" s="67"/>
      <c r="AB73" s="10"/>
      <c r="AC73" s="67"/>
      <c r="AD73" s="10"/>
      <c r="AE73" s="67"/>
      <c r="AF73" s="10"/>
      <c r="AG73" s="67"/>
      <c r="AH73" s="10"/>
      <c r="AI73" s="67"/>
      <c r="AJ73" s="10"/>
      <c r="AK73" s="67"/>
    </row>
    <row r="74" spans="2:23" ht="5.25" customHeight="1">
      <c r="B74" s="9"/>
      <c r="C74" s="63"/>
      <c r="G74" s="8"/>
      <c r="H74" s="8"/>
      <c r="I74" s="8"/>
      <c r="L74" s="8"/>
      <c r="P74" s="129"/>
      <c r="Q74" s="129"/>
      <c r="R74" s="129"/>
      <c r="S74" s="129"/>
      <c r="T74" s="129"/>
      <c r="U74" s="129"/>
      <c r="V74" s="131"/>
      <c r="W74" s="45"/>
    </row>
    <row r="75" spans="1:37" s="8" customFormat="1" ht="16.5">
      <c r="A75" s="83">
        <v>5.17</v>
      </c>
      <c r="B75" s="8" t="s">
        <v>147</v>
      </c>
      <c r="C75" s="3"/>
      <c r="D75" s="3"/>
      <c r="E75" s="3"/>
      <c r="F75" s="3"/>
      <c r="G75" s="26"/>
      <c r="I75" s="110">
        <f>SUM(I49:K59)+I61</f>
        <v>0</v>
      </c>
      <c r="M75" s="65"/>
      <c r="P75" s="129"/>
      <c r="Q75" s="129"/>
      <c r="R75" s="129"/>
      <c r="S75" s="129"/>
      <c r="T75" s="129"/>
      <c r="U75" s="129"/>
      <c r="V75" s="131"/>
      <c r="W75" s="45"/>
      <c r="X75" s="10"/>
      <c r="Y75" s="11"/>
      <c r="Z75" s="10"/>
      <c r="AA75" s="67"/>
      <c r="AB75" s="10"/>
      <c r="AC75" s="67"/>
      <c r="AD75" s="10"/>
      <c r="AE75" s="67"/>
      <c r="AF75" s="10"/>
      <c r="AG75" s="67"/>
      <c r="AH75" s="10"/>
      <c r="AI75" s="67"/>
      <c r="AJ75" s="10"/>
      <c r="AK75" s="67"/>
    </row>
    <row r="76" spans="1:37" s="8" customFormat="1" ht="16.5">
      <c r="A76" s="80" t="s">
        <v>174</v>
      </c>
      <c r="B76" s="8" t="s">
        <v>35</v>
      </c>
      <c r="C76" s="18"/>
      <c r="I76" s="26">
        <f>+I75/LN</f>
        <v>0</v>
      </c>
      <c r="M76" s="20">
        <f>+IF(I76&gt;AH76,AI76,IF(I76&gt;AF76,AG76,IF(I76&gt;AD76,AE76,IF(I76&gt;AB76,AC76,IF(I76&gt;=Z76,AA76,0)))))</f>
        <v>0</v>
      </c>
      <c r="N76" s="21">
        <f>+IF(I76&lt;0.09,0,2+(I76-0.09)*33.333)</f>
        <v>0</v>
      </c>
      <c r="P76" s="129"/>
      <c r="Q76" s="136" t="str">
        <f>+Z76*100&amp;"-"&amp;AB76*100</f>
        <v>3-4</v>
      </c>
      <c r="R76" s="139" t="str">
        <f>+"&gt;"&amp;AB76*100&amp;"-"&amp;AD76*100</f>
        <v>&gt;4-5</v>
      </c>
      <c r="S76" s="129" t="str">
        <f>+"&gt;"&amp;AD76*100&amp;"-"&amp;AF76*100</f>
        <v>&gt;5-6</v>
      </c>
      <c r="T76" s="129" t="str">
        <f>+"&gt;"&amp;AF76*100&amp;"-"&amp;AH76*100</f>
        <v>&gt;6-7</v>
      </c>
      <c r="U76" s="129" t="str">
        <f>+"&gt;"&amp;AH76*100</f>
        <v>&gt;7</v>
      </c>
      <c r="V76" s="131" t="s">
        <v>67</v>
      </c>
      <c r="W76" s="45"/>
      <c r="X76" s="77">
        <v>3</v>
      </c>
      <c r="Y76" s="22"/>
      <c r="Z76" s="28">
        <v>0.03</v>
      </c>
      <c r="AA76" s="67">
        <v>2</v>
      </c>
      <c r="AB76" s="28">
        <v>0.04</v>
      </c>
      <c r="AC76" s="67">
        <v>3</v>
      </c>
      <c r="AD76" s="28">
        <v>0.05</v>
      </c>
      <c r="AE76" s="67">
        <v>4</v>
      </c>
      <c r="AF76" s="28">
        <v>0.06</v>
      </c>
      <c r="AG76" s="67">
        <v>5</v>
      </c>
      <c r="AH76" s="28">
        <v>0.07</v>
      </c>
      <c r="AI76" s="67">
        <v>6</v>
      </c>
      <c r="AJ76" s="10"/>
      <c r="AK76" s="67"/>
    </row>
    <row r="77" spans="1:37" s="29" customFormat="1" ht="6" customHeight="1">
      <c r="A77" s="81"/>
      <c r="D77" s="38"/>
      <c r="E77" s="38"/>
      <c r="F77" s="38"/>
      <c r="G77" s="38"/>
      <c r="H77" s="38"/>
      <c r="L77" s="38"/>
      <c r="M77" s="30"/>
      <c r="N77" s="30"/>
      <c r="P77" s="129"/>
      <c r="Q77" s="129"/>
      <c r="R77" s="129"/>
      <c r="S77" s="129"/>
      <c r="T77" s="129"/>
      <c r="U77" s="129"/>
      <c r="V77" s="130"/>
      <c r="W77" s="46"/>
      <c r="X77" s="11"/>
      <c r="Y77" s="11"/>
      <c r="Z77" s="2"/>
      <c r="AA77" s="4"/>
      <c r="AB77" s="2"/>
      <c r="AC77" s="4"/>
      <c r="AD77" s="2"/>
      <c r="AE77" s="4"/>
      <c r="AF77" s="2"/>
      <c r="AG77" s="4"/>
      <c r="AH77" s="2"/>
      <c r="AI77" s="4"/>
      <c r="AJ77" s="2"/>
      <c r="AK77" s="4"/>
    </row>
    <row r="78" spans="1:37" s="8" customFormat="1" ht="16.5">
      <c r="A78" s="80">
        <v>6.1</v>
      </c>
      <c r="B78" s="110">
        <f>+G66-B79-B80</f>
        <v>0</v>
      </c>
      <c r="C78" s="8" t="s">
        <v>202</v>
      </c>
      <c r="I78" s="26"/>
      <c r="M78" s="20"/>
      <c r="N78" s="21"/>
      <c r="P78" s="129"/>
      <c r="Q78" s="136"/>
      <c r="R78" s="139"/>
      <c r="S78" s="129"/>
      <c r="T78" s="129"/>
      <c r="U78" s="129"/>
      <c r="V78" s="131"/>
      <c r="W78" s="45"/>
      <c r="X78" s="77"/>
      <c r="Y78" s="22"/>
      <c r="Z78" s="28"/>
      <c r="AA78" s="67"/>
      <c r="AB78" s="28"/>
      <c r="AC78" s="67"/>
      <c r="AD78" s="28"/>
      <c r="AE78" s="67"/>
      <c r="AF78" s="28"/>
      <c r="AG78" s="67"/>
      <c r="AH78" s="28"/>
      <c r="AI78" s="67"/>
      <c r="AJ78" s="10"/>
      <c r="AK78" s="67"/>
    </row>
    <row r="79" spans="1:37" s="8" customFormat="1" ht="16.5">
      <c r="A79" s="83" t="s">
        <v>104</v>
      </c>
      <c r="B79" s="109">
        <v>0</v>
      </c>
      <c r="C79" s="8" t="s">
        <v>145</v>
      </c>
      <c r="I79" s="26"/>
      <c r="M79" s="20"/>
      <c r="N79" s="21"/>
      <c r="P79" s="129"/>
      <c r="Q79" s="136"/>
      <c r="R79" s="139"/>
      <c r="S79" s="129"/>
      <c r="T79" s="129"/>
      <c r="U79" s="129"/>
      <c r="V79" s="131"/>
      <c r="W79" s="45"/>
      <c r="X79" s="77"/>
      <c r="Y79" s="22"/>
      <c r="Z79" s="28"/>
      <c r="AA79" s="67"/>
      <c r="AB79" s="28"/>
      <c r="AC79" s="67"/>
      <c r="AD79" s="28"/>
      <c r="AE79" s="67"/>
      <c r="AF79" s="28"/>
      <c r="AG79" s="67"/>
      <c r="AH79" s="28"/>
      <c r="AI79" s="67"/>
      <c r="AJ79" s="10"/>
      <c r="AK79" s="67"/>
    </row>
    <row r="80" spans="1:37" s="8" customFormat="1" ht="16.5">
      <c r="A80" s="83" t="s">
        <v>105</v>
      </c>
      <c r="B80" s="109">
        <v>0</v>
      </c>
      <c r="C80" s="8" t="s">
        <v>146</v>
      </c>
      <c r="I80" s="26"/>
      <c r="M80" s="20"/>
      <c r="N80" s="21"/>
      <c r="P80" s="129"/>
      <c r="Q80" s="136"/>
      <c r="R80" s="139"/>
      <c r="S80" s="129"/>
      <c r="T80" s="129"/>
      <c r="U80" s="129"/>
      <c r="V80" s="131"/>
      <c r="W80" s="45"/>
      <c r="X80" s="77"/>
      <c r="Y80" s="22"/>
      <c r="Z80" s="28"/>
      <c r="AA80" s="67"/>
      <c r="AB80" s="28"/>
      <c r="AC80" s="67"/>
      <c r="AD80" s="28"/>
      <c r="AE80" s="67"/>
      <c r="AF80" s="28"/>
      <c r="AG80" s="67"/>
      <c r="AH80" s="28"/>
      <c r="AI80" s="67"/>
      <c r="AJ80" s="10"/>
      <c r="AK80" s="67"/>
    </row>
    <row r="81" spans="1:37" s="29" customFormat="1" ht="6" customHeight="1">
      <c r="A81" s="81"/>
      <c r="D81" s="38"/>
      <c r="E81" s="38"/>
      <c r="F81" s="38"/>
      <c r="G81" s="38"/>
      <c r="H81" s="38"/>
      <c r="L81" s="38"/>
      <c r="M81" s="30"/>
      <c r="N81" s="30"/>
      <c r="P81" s="129"/>
      <c r="Q81" s="129"/>
      <c r="R81" s="129"/>
      <c r="S81" s="129"/>
      <c r="T81" s="129"/>
      <c r="U81" s="129"/>
      <c r="V81" s="130"/>
      <c r="W81" s="46"/>
      <c r="X81" s="11"/>
      <c r="Y81" s="11"/>
      <c r="Z81" s="2"/>
      <c r="AA81" s="4"/>
      <c r="AB81" s="2"/>
      <c r="AC81" s="4"/>
      <c r="AD81" s="2"/>
      <c r="AE81" s="4"/>
      <c r="AF81" s="2"/>
      <c r="AG81" s="4"/>
      <c r="AH81" s="2"/>
      <c r="AI81" s="4"/>
      <c r="AJ81" s="2"/>
      <c r="AK81" s="4"/>
    </row>
    <row r="82" spans="1:37" s="16" customFormat="1" ht="16.5">
      <c r="A82" s="80">
        <v>7</v>
      </c>
      <c r="B82" s="72" t="s">
        <v>172</v>
      </c>
      <c r="M82" s="27"/>
      <c r="N82" s="27"/>
      <c r="P82" s="129"/>
      <c r="Q82" s="129"/>
      <c r="R82" s="129"/>
      <c r="S82" s="129"/>
      <c r="T82" s="129"/>
      <c r="U82" s="129"/>
      <c r="V82" s="131"/>
      <c r="W82" s="45"/>
      <c r="X82" s="32"/>
      <c r="Y82" s="32"/>
      <c r="Z82" s="33"/>
      <c r="AA82" s="68"/>
      <c r="AB82" s="33"/>
      <c r="AC82" s="68"/>
      <c r="AD82" s="33"/>
      <c r="AE82" s="68"/>
      <c r="AF82" s="33"/>
      <c r="AG82" s="68"/>
      <c r="AH82" s="33"/>
      <c r="AI82" s="68"/>
      <c r="AJ82" s="33"/>
      <c r="AK82" s="68"/>
    </row>
    <row r="83" spans="1:23" ht="16.5">
      <c r="A83" s="81">
        <v>7.1</v>
      </c>
      <c r="B83" s="25">
        <v>0</v>
      </c>
      <c r="C83" s="8" t="s">
        <v>218</v>
      </c>
      <c r="P83" s="129"/>
      <c r="Q83" s="129"/>
      <c r="R83" s="129"/>
      <c r="S83" s="129"/>
      <c r="T83" s="129"/>
      <c r="U83" s="129"/>
      <c r="V83" s="131"/>
      <c r="W83" s="45"/>
    </row>
    <row r="84" spans="2:23" ht="16.5">
      <c r="B84" s="18" t="s">
        <v>2</v>
      </c>
      <c r="C84" s="34">
        <f>+IF(Ackerfläche&gt;0,B83/Ackerfläche*20,0)</f>
        <v>0</v>
      </c>
      <c r="D84" s="73" t="s">
        <v>29</v>
      </c>
      <c r="F84" s="73"/>
      <c r="G84" s="73"/>
      <c r="H84" s="73"/>
      <c r="L84" s="73"/>
      <c r="P84" s="129"/>
      <c r="Q84" s="129"/>
      <c r="R84" s="129"/>
      <c r="S84" s="129"/>
      <c r="T84" s="129"/>
      <c r="U84" s="129"/>
      <c r="V84" s="131"/>
      <c r="W84" s="45"/>
    </row>
    <row r="85" spans="2:37" ht="16.5">
      <c r="B85" s="18" t="s">
        <v>2</v>
      </c>
      <c r="D85" s="73" t="str">
        <f>+"Teilpunkte auf Ackerfläche (="&amp;+ROUND(Ackerfläche/LN*100,0)&amp;"% der LN)"</f>
        <v>Teilpunkte auf Ackerfläche (=0% der LN)</v>
      </c>
      <c r="F85" s="73"/>
      <c r="G85" s="73"/>
      <c r="H85" s="73"/>
      <c r="L85" s="73"/>
      <c r="M85" s="144">
        <f>+IF(C84&gt;AH85,AI85,IF(C84&gt;AF85,AG85,IF(C84&gt;AD85,AE85,IF(C84&gt;AB85,AC85,IF(C84&gt;=Z85,AA85,0)))))</f>
        <v>0</v>
      </c>
      <c r="N85" s="20"/>
      <c r="P85" s="129"/>
      <c r="Q85" s="136" t="str">
        <f>+Z85&amp;"-"&amp;AB85</f>
        <v>1-2</v>
      </c>
      <c r="R85" s="139" t="str">
        <f>+"&gt;"&amp;AB85&amp;"-"&amp;AD85</f>
        <v>&gt;2-3</v>
      </c>
      <c r="S85" s="129" t="str">
        <f>+"&gt;"&amp;AD85&amp;"-"&amp;AF85</f>
        <v>&gt;3-4</v>
      </c>
      <c r="T85" s="129" t="str">
        <f>+"&gt;"&amp;AF85&amp;"-"&amp;AH85</f>
        <v>&gt;4-5</v>
      </c>
      <c r="U85" s="129" t="str">
        <f>+"&gt;"&amp;AH85</f>
        <v>&gt;5</v>
      </c>
      <c r="V85" s="131" t="s">
        <v>108</v>
      </c>
      <c r="W85" s="45"/>
      <c r="X85" s="32"/>
      <c r="Z85" s="2">
        <v>1</v>
      </c>
      <c r="AA85" s="4">
        <v>2</v>
      </c>
      <c r="AB85" s="2">
        <v>2</v>
      </c>
      <c r="AC85" s="4">
        <v>3</v>
      </c>
      <c r="AD85" s="2">
        <v>3</v>
      </c>
      <c r="AE85" s="4">
        <v>4</v>
      </c>
      <c r="AF85" s="2">
        <v>4</v>
      </c>
      <c r="AG85" s="4">
        <v>5</v>
      </c>
      <c r="AH85" s="2">
        <v>5</v>
      </c>
      <c r="AI85" s="67">
        <v>6</v>
      </c>
      <c r="AJ85" s="10"/>
      <c r="AK85" s="67"/>
    </row>
    <row r="86" spans="2:37" ht="16.5">
      <c r="B86" s="18" t="s">
        <v>2</v>
      </c>
      <c r="D86" s="3" t="s">
        <v>27</v>
      </c>
      <c r="M86" s="42">
        <f>+M85*Ackerfläche/LN</f>
        <v>0</v>
      </c>
      <c r="N86" s="20"/>
      <c r="P86" s="129"/>
      <c r="Q86" s="136"/>
      <c r="R86" s="139"/>
      <c r="S86" s="129"/>
      <c r="T86" s="129"/>
      <c r="U86" s="129"/>
      <c r="V86" s="131"/>
      <c r="W86" s="45"/>
      <c r="X86" s="32"/>
      <c r="AI86" s="67"/>
      <c r="AJ86" s="10"/>
      <c r="AK86" s="67"/>
    </row>
    <row r="87" spans="1:24" ht="16.5">
      <c r="A87" s="81">
        <v>7.2</v>
      </c>
      <c r="B87" s="25">
        <v>0</v>
      </c>
      <c r="C87" s="182" t="s">
        <v>219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29"/>
      <c r="Q87" s="129"/>
      <c r="R87" s="129"/>
      <c r="S87" s="129"/>
      <c r="T87" s="129"/>
      <c r="U87" s="129"/>
      <c r="V87" s="131"/>
      <c r="W87" s="45"/>
      <c r="X87" s="32"/>
    </row>
    <row r="88" spans="2:24" ht="16.5">
      <c r="B88" s="18" t="s">
        <v>2</v>
      </c>
      <c r="C88" s="34">
        <f>+IF(Dauergründland_plus_Streuefläche&gt;0,B87/Dauergründland_plus_Streuefläche*20,0)</f>
        <v>0</v>
      </c>
      <c r="D88" s="180" t="s">
        <v>31</v>
      </c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29"/>
      <c r="Q88" s="129"/>
      <c r="R88" s="129"/>
      <c r="S88" s="129"/>
      <c r="T88" s="129"/>
      <c r="U88" s="129"/>
      <c r="V88" s="131"/>
      <c r="W88" s="45"/>
      <c r="X88" s="32"/>
    </row>
    <row r="89" spans="2:37" ht="16.5">
      <c r="B89" s="18" t="s">
        <v>2</v>
      </c>
      <c r="D89" s="180" t="str">
        <f>+"Teilpunkte auf Dauergrünland  inkl. Streueflächen (="&amp;+ROUND(Dauergrünland/LN*100,0)&amp;"% der LN)"</f>
        <v>Teilpunkte auf Dauergrünland  inkl. Streueflächen (=0% der LN)</v>
      </c>
      <c r="E89" s="180"/>
      <c r="F89" s="180"/>
      <c r="G89" s="180"/>
      <c r="H89" s="180"/>
      <c r="I89" s="180"/>
      <c r="J89" s="180"/>
      <c r="K89" s="180"/>
      <c r="L89" s="153"/>
      <c r="M89" s="145">
        <f>+IF(C88&gt;AH89,AI89,IF(C88&gt;AF89,AG89,IF(C88&gt;AD89,AE89,IF(C88&gt;AB89,AC89,IF(C88&gt;=Z89,AA89,0)))))</f>
        <v>0</v>
      </c>
      <c r="N89" s="20"/>
      <c r="P89" s="129"/>
      <c r="Q89" s="136" t="str">
        <f>+Z89&amp;"-"&amp;AB89</f>
        <v>2-3</v>
      </c>
      <c r="R89" s="139" t="str">
        <f>+"&gt;"&amp;AB89&amp;"-"&amp;AD89</f>
        <v>&gt;3-4</v>
      </c>
      <c r="S89" s="129" t="str">
        <f>+"&gt;"&amp;AD89&amp;"-"&amp;AF89</f>
        <v>&gt;4-5</v>
      </c>
      <c r="T89" s="129" t="str">
        <f>+"&gt;"&amp;AF89&amp;"-"&amp;AH89</f>
        <v>&gt;5-6</v>
      </c>
      <c r="U89" s="129" t="str">
        <f>+"&gt;"&amp;AH89</f>
        <v>&gt;6</v>
      </c>
      <c r="V89" s="131" t="s">
        <v>108</v>
      </c>
      <c r="W89" s="45"/>
      <c r="X89" s="32"/>
      <c r="Z89" s="2">
        <v>2</v>
      </c>
      <c r="AA89" s="4">
        <v>2</v>
      </c>
      <c r="AB89" s="2">
        <v>3</v>
      </c>
      <c r="AC89" s="4">
        <v>3</v>
      </c>
      <c r="AD89" s="2">
        <v>4</v>
      </c>
      <c r="AE89" s="4">
        <v>4</v>
      </c>
      <c r="AF89" s="2">
        <v>5</v>
      </c>
      <c r="AG89" s="4">
        <v>5</v>
      </c>
      <c r="AH89" s="2">
        <v>6</v>
      </c>
      <c r="AI89" s="67">
        <v>6</v>
      </c>
      <c r="AJ89" s="10"/>
      <c r="AK89" s="67"/>
    </row>
    <row r="90" spans="2:24" ht="16.5">
      <c r="B90" s="18" t="s">
        <v>2</v>
      </c>
      <c r="D90" s="3" t="s">
        <v>27</v>
      </c>
      <c r="M90" s="42">
        <f>+M89*Dauergrünland/LN</f>
        <v>0</v>
      </c>
      <c r="P90" s="129"/>
      <c r="Q90" s="129"/>
      <c r="R90" s="139"/>
      <c r="S90" s="129"/>
      <c r="T90" s="129"/>
      <c r="U90" s="129"/>
      <c r="V90" s="131"/>
      <c r="W90" s="45"/>
      <c r="X90" s="32">
        <v>3</v>
      </c>
    </row>
    <row r="91" spans="1:37" s="29" customFormat="1" ht="6" customHeight="1">
      <c r="A91" s="157"/>
      <c r="C91" s="157"/>
      <c r="K91" s="158"/>
      <c r="M91" s="159"/>
      <c r="N91" s="159"/>
      <c r="O91" s="159"/>
      <c r="P91" s="129"/>
      <c r="Q91" s="129"/>
      <c r="R91" s="129"/>
      <c r="S91" s="129"/>
      <c r="T91" s="129"/>
      <c r="U91" s="129"/>
      <c r="V91" s="131"/>
      <c r="W91" s="160"/>
      <c r="X91" s="11"/>
      <c r="Y91" s="11"/>
      <c r="Z91" s="2"/>
      <c r="AA91" s="4"/>
      <c r="AB91" s="2"/>
      <c r="AC91" s="4"/>
      <c r="AD91" s="2"/>
      <c r="AE91" s="4"/>
      <c r="AF91" s="2"/>
      <c r="AG91" s="4"/>
      <c r="AH91" s="2"/>
      <c r="AI91" s="4"/>
      <c r="AJ91" s="2"/>
      <c r="AK91" s="4"/>
    </row>
    <row r="92" spans="1:23" ht="16.5">
      <c r="A92" s="80">
        <v>8</v>
      </c>
      <c r="B92" s="9" t="s">
        <v>179</v>
      </c>
      <c r="P92" s="129"/>
      <c r="Q92" s="129"/>
      <c r="R92" s="129"/>
      <c r="S92" s="129"/>
      <c r="T92" s="129"/>
      <c r="U92" s="129"/>
      <c r="V92" s="131"/>
      <c r="W92" s="45"/>
    </row>
    <row r="93" spans="1:23" ht="16.5">
      <c r="A93" s="83" t="s">
        <v>150</v>
      </c>
      <c r="B93" s="110">
        <f>+M63</f>
        <v>0</v>
      </c>
      <c r="C93" s="8" t="s">
        <v>148</v>
      </c>
      <c r="P93" s="129"/>
      <c r="Q93" s="129"/>
      <c r="R93" s="129"/>
      <c r="S93" s="129"/>
      <c r="T93" s="129"/>
      <c r="U93" s="129"/>
      <c r="V93" s="131"/>
      <c r="W93" s="45"/>
    </row>
    <row r="94" spans="1:37" s="8" customFormat="1" ht="16.5">
      <c r="A94" s="80"/>
      <c r="B94" s="18" t="s">
        <v>2</v>
      </c>
      <c r="C94" s="26">
        <f>+B93/B$13</f>
        <v>0</v>
      </c>
      <c r="E94" s="8" t="s">
        <v>3</v>
      </c>
      <c r="M94" s="20">
        <f>+IF(C94&gt;AF94,AG94,IF(C94&gt;AD94,AE94,IF(C94&gt;AB94,AC94,IF(C94&gt;=Z94,AA94,0))))</f>
        <v>0</v>
      </c>
      <c r="N94" s="20"/>
      <c r="P94" s="136" t="str">
        <f>+Z94*100&amp;"-"&amp;AB94*100</f>
        <v>3-4</v>
      </c>
      <c r="Q94" s="139" t="str">
        <f>+"&gt;"&amp;AB94*100&amp;"-"&amp;AD94*100</f>
        <v>&gt;4-5</v>
      </c>
      <c r="R94" s="129" t="str">
        <f>+"&gt;"&amp;AD94*100&amp;"-"&amp;AF94*100</f>
        <v>&gt;5-6</v>
      </c>
      <c r="S94" s="129" t="str">
        <f>+"&gt;"&amp;AF94*100</f>
        <v>&gt;6</v>
      </c>
      <c r="T94" s="131"/>
      <c r="U94" s="129"/>
      <c r="V94" s="131" t="s">
        <v>107</v>
      </c>
      <c r="W94" s="45"/>
      <c r="X94" s="77">
        <v>2</v>
      </c>
      <c r="Y94" s="22"/>
      <c r="Z94" s="28">
        <v>0.03</v>
      </c>
      <c r="AA94" s="67">
        <v>1</v>
      </c>
      <c r="AB94" s="28">
        <v>0.04</v>
      </c>
      <c r="AC94" s="67">
        <v>2</v>
      </c>
      <c r="AD94" s="28">
        <v>0.05</v>
      </c>
      <c r="AE94" s="67">
        <v>3</v>
      </c>
      <c r="AF94" s="28">
        <v>0.06</v>
      </c>
      <c r="AG94" s="67">
        <v>4</v>
      </c>
      <c r="AH94" s="10"/>
      <c r="AI94" s="67"/>
      <c r="AJ94" s="10"/>
      <c r="AK94" s="67"/>
    </row>
    <row r="95" spans="1:37" s="29" customFormat="1" ht="6" customHeight="1">
      <c r="A95" s="81"/>
      <c r="D95" s="38"/>
      <c r="E95" s="38"/>
      <c r="F95" s="38"/>
      <c r="G95" s="38"/>
      <c r="H95" s="38"/>
      <c r="L95" s="38"/>
      <c r="M95" s="30"/>
      <c r="N95" s="30"/>
      <c r="P95" s="129"/>
      <c r="Q95" s="129"/>
      <c r="R95" s="129"/>
      <c r="S95" s="129"/>
      <c r="T95" s="129"/>
      <c r="U95" s="129"/>
      <c r="V95" s="130"/>
      <c r="W95" s="46"/>
      <c r="X95" s="11"/>
      <c r="Y95" s="11"/>
      <c r="Z95" s="2"/>
      <c r="AA95" s="4"/>
      <c r="AB95" s="2"/>
      <c r="AC95" s="4"/>
      <c r="AD95" s="2"/>
      <c r="AE95" s="4"/>
      <c r="AF95" s="2"/>
      <c r="AG95" s="4"/>
      <c r="AH95" s="2"/>
      <c r="AI95" s="4"/>
      <c r="AJ95" s="2"/>
      <c r="AK95" s="4"/>
    </row>
    <row r="96" spans="1:23" ht="16.5">
      <c r="A96" s="81">
        <v>9</v>
      </c>
      <c r="B96" s="72" t="s">
        <v>116</v>
      </c>
      <c r="E96" s="16"/>
      <c r="F96" s="16"/>
      <c r="G96" s="16"/>
      <c r="H96" s="16"/>
      <c r="L96" s="16"/>
      <c r="P96" s="129"/>
      <c r="Q96" s="129"/>
      <c r="R96" s="129"/>
      <c r="S96" s="129"/>
      <c r="T96" s="129"/>
      <c r="U96" s="129"/>
      <c r="V96" s="131"/>
      <c r="W96" s="45"/>
    </row>
    <row r="97" spans="1:23" ht="16.5">
      <c r="A97" s="81">
        <v>9.1</v>
      </c>
      <c r="B97" s="25">
        <v>0</v>
      </c>
      <c r="C97" s="8" t="s">
        <v>220</v>
      </c>
      <c r="E97" s="16"/>
      <c r="F97" s="16"/>
      <c r="G97" s="16"/>
      <c r="H97" s="16"/>
      <c r="L97" s="16"/>
      <c r="P97" s="129"/>
      <c r="Q97" s="129"/>
      <c r="R97" s="129"/>
      <c r="S97" s="129"/>
      <c r="T97" s="129"/>
      <c r="U97" s="129"/>
      <c r="V97" s="131"/>
      <c r="W97" s="45"/>
    </row>
    <row r="98" spans="1:23" ht="16.5">
      <c r="A98" s="81"/>
      <c r="B98" s="18" t="s">
        <v>2</v>
      </c>
      <c r="C98" s="34">
        <f>+IF(Ackerfläche&gt;0,B97/Ackerfläche*20,0)</f>
        <v>0</v>
      </c>
      <c r="D98" s="3" t="s">
        <v>171</v>
      </c>
      <c r="E98" s="16"/>
      <c r="F98" s="16"/>
      <c r="G98" s="16"/>
      <c r="H98" s="16"/>
      <c r="L98" s="16"/>
      <c r="P98" s="129"/>
      <c r="Q98" s="129"/>
      <c r="R98" s="129"/>
      <c r="S98" s="129"/>
      <c r="T98" s="129"/>
      <c r="U98" s="129"/>
      <c r="V98" s="131"/>
      <c r="W98" s="45"/>
    </row>
    <row r="99" spans="1:37" s="8" customFormat="1" ht="16.5">
      <c r="A99" s="81"/>
      <c r="B99" s="18" t="s">
        <v>2</v>
      </c>
      <c r="D99" s="8" t="str">
        <f>+"Teilpunkte auf Ackerfläche (="&amp;+ROUND(Ackerfläche/LN*100,0)&amp;"% der LN)"</f>
        <v>Teilpunkte auf Ackerfläche (=0% der LN)</v>
      </c>
      <c r="F99" s="73"/>
      <c r="G99" s="73"/>
      <c r="H99" s="73"/>
      <c r="L99" s="73"/>
      <c r="M99" s="144">
        <f>+IF(C98&gt;AF99,AG99,IF(C98&gt;AD99,AE99,IF(C98&gt;AB99,AC99,IF(C98&gt;=Z99,AA99,0))))</f>
        <v>0</v>
      </c>
      <c r="N99" s="20"/>
      <c r="P99" s="129" t="str">
        <f>+Z99&amp;"-"&amp;AB99</f>
        <v>1.5-3</v>
      </c>
      <c r="Q99" s="139" t="str">
        <f>+"&gt;"&amp;AB99&amp;"-"&amp;AD99</f>
        <v>&gt;3-4.5</v>
      </c>
      <c r="R99" s="129" t="str">
        <f>+"&gt;"&amp;AD99&amp;"-"&amp;AF99</f>
        <v>&gt;4.5-6</v>
      </c>
      <c r="S99" s="129" t="str">
        <f>+"&gt;"&amp;AF99</f>
        <v>&gt;6</v>
      </c>
      <c r="T99" s="129"/>
      <c r="U99" s="129"/>
      <c r="V99" s="131" t="s">
        <v>170</v>
      </c>
      <c r="W99" s="45"/>
      <c r="X99" s="77">
        <v>3</v>
      </c>
      <c r="Y99" s="22"/>
      <c r="Z99" s="2">
        <v>1.5</v>
      </c>
      <c r="AA99" s="4">
        <v>1</v>
      </c>
      <c r="AB99" s="2">
        <v>3</v>
      </c>
      <c r="AC99" s="4">
        <v>2</v>
      </c>
      <c r="AD99" s="2">
        <v>4.5</v>
      </c>
      <c r="AE99" s="4">
        <v>3</v>
      </c>
      <c r="AF99" s="2">
        <v>6</v>
      </c>
      <c r="AG99" s="4">
        <v>4</v>
      </c>
      <c r="AH99" s="10"/>
      <c r="AI99" s="67"/>
      <c r="AJ99" s="10"/>
      <c r="AK99" s="67"/>
    </row>
    <row r="100" spans="1:23" ht="16.5">
      <c r="A100" s="81"/>
      <c r="B100" s="18" t="s">
        <v>2</v>
      </c>
      <c r="D100" s="8" t="s">
        <v>27</v>
      </c>
      <c r="M100" s="42">
        <f>+M99*Ackerfläche/LN</f>
        <v>0</v>
      </c>
      <c r="P100" s="129"/>
      <c r="Q100" s="129"/>
      <c r="R100" s="129"/>
      <c r="S100" s="129"/>
      <c r="T100" s="129"/>
      <c r="U100" s="129"/>
      <c r="V100" s="131"/>
      <c r="W100" s="45"/>
    </row>
    <row r="101" spans="1:37" s="8" customFormat="1" ht="16.5">
      <c r="A101" s="81">
        <v>9.2</v>
      </c>
      <c r="B101" s="25">
        <v>0</v>
      </c>
      <c r="C101" s="8" t="s">
        <v>221</v>
      </c>
      <c r="E101" s="9"/>
      <c r="F101" s="9"/>
      <c r="G101" s="9"/>
      <c r="H101" s="9"/>
      <c r="L101" s="9"/>
      <c r="M101" s="35"/>
      <c r="N101" s="35"/>
      <c r="P101" s="129"/>
      <c r="Q101" s="129"/>
      <c r="R101" s="129"/>
      <c r="S101" s="129"/>
      <c r="T101" s="129"/>
      <c r="U101" s="129"/>
      <c r="V101" s="131"/>
      <c r="W101" s="45"/>
      <c r="X101" s="36"/>
      <c r="Y101" s="36"/>
      <c r="Z101" s="10"/>
      <c r="AA101" s="67"/>
      <c r="AB101" s="10"/>
      <c r="AC101" s="67"/>
      <c r="AD101" s="10"/>
      <c r="AE101" s="67"/>
      <c r="AF101" s="10"/>
      <c r="AG101" s="67"/>
      <c r="AH101" s="10"/>
      <c r="AI101" s="67"/>
      <c r="AJ101" s="10"/>
      <c r="AK101" s="67"/>
    </row>
    <row r="102" spans="1:37" s="8" customFormat="1" ht="16.5">
      <c r="A102" s="81"/>
      <c r="B102" s="18" t="s">
        <v>2</v>
      </c>
      <c r="C102" s="34">
        <f>+IF(Dauergründland_plus_Streuefläche,B101/Dauergründland_plus_Streuefläche*20,0)</f>
        <v>0</v>
      </c>
      <c r="D102" s="3" t="s">
        <v>201</v>
      </c>
      <c r="E102" s="9"/>
      <c r="F102" s="9"/>
      <c r="G102" s="9"/>
      <c r="H102" s="9"/>
      <c r="L102" s="9"/>
      <c r="M102" s="35"/>
      <c r="N102" s="35"/>
      <c r="P102" s="129"/>
      <c r="Q102" s="129"/>
      <c r="R102" s="129"/>
      <c r="S102" s="129"/>
      <c r="T102" s="129"/>
      <c r="U102" s="129"/>
      <c r="V102" s="131"/>
      <c r="W102" s="45"/>
      <c r="X102" s="36"/>
      <c r="Y102" s="36"/>
      <c r="Z102" s="10"/>
      <c r="AA102" s="67"/>
      <c r="AB102" s="10"/>
      <c r="AC102" s="67"/>
      <c r="AD102" s="10"/>
      <c r="AE102" s="67"/>
      <c r="AF102" s="10"/>
      <c r="AG102" s="67"/>
      <c r="AH102" s="10"/>
      <c r="AI102" s="67"/>
      <c r="AJ102" s="10"/>
      <c r="AK102" s="67"/>
    </row>
    <row r="103" spans="1:34" ht="16.5">
      <c r="A103" s="81"/>
      <c r="B103" s="18" t="s">
        <v>2</v>
      </c>
      <c r="D103" s="73" t="str">
        <f>+"Teilpunkte auf Dauergrünland oder Streueflächen (="&amp;+ROUND(Dauergrünland/LN*100,0)&amp;"% der LN)  "</f>
        <v>Teilpunkte auf Dauergrünland oder Streueflächen (=0% der LN)  </v>
      </c>
      <c r="F103" s="73"/>
      <c r="G103" s="73"/>
      <c r="H103" s="73"/>
      <c r="I103" s="29"/>
      <c r="J103" s="29"/>
      <c r="K103" s="29"/>
      <c r="L103" s="73"/>
      <c r="M103" s="144">
        <f>+IF(C102&gt;AF103,AG103,IF(C102&gt;AD103,AE103,IF(C102&gt;AB103,AC103,IF(C102&gt;=Z103,AA103,0))))</f>
        <v>0</v>
      </c>
      <c r="N103" s="20"/>
      <c r="P103" s="129" t="str">
        <f>+Z103&amp;"-"&amp;AB103</f>
        <v>3-5</v>
      </c>
      <c r="Q103" s="139" t="str">
        <f>+"&gt;"&amp;AB103&amp;"-"&amp;AD103</f>
        <v>&gt;5-7</v>
      </c>
      <c r="R103" s="129" t="str">
        <f>+"&gt;"&amp;AD103&amp;"-"&amp;AF103</f>
        <v>&gt;7-9</v>
      </c>
      <c r="S103" s="129" t="str">
        <f>+"&gt;"&amp;AF103</f>
        <v>&gt;9</v>
      </c>
      <c r="T103" s="129"/>
      <c r="U103" s="129"/>
      <c r="V103" s="131" t="s">
        <v>170</v>
      </c>
      <c r="W103" s="45"/>
      <c r="X103" s="77"/>
      <c r="Y103" s="22"/>
      <c r="Z103" s="2">
        <v>3</v>
      </c>
      <c r="AA103" s="4">
        <v>1</v>
      </c>
      <c r="AB103" s="2">
        <v>5</v>
      </c>
      <c r="AC103" s="4">
        <v>2</v>
      </c>
      <c r="AD103" s="2">
        <v>7</v>
      </c>
      <c r="AE103" s="4">
        <v>3</v>
      </c>
      <c r="AF103" s="2">
        <v>9</v>
      </c>
      <c r="AG103" s="4">
        <v>4</v>
      </c>
      <c r="AH103" s="10"/>
    </row>
    <row r="104" spans="1:30" ht="16.5">
      <c r="A104" s="81"/>
      <c r="B104" s="18" t="s">
        <v>2</v>
      </c>
      <c r="D104" s="8" t="s">
        <v>27</v>
      </c>
      <c r="M104" s="42">
        <f>+M103*Dauergrünland/LN</f>
        <v>0</v>
      </c>
      <c r="N104" s="20"/>
      <c r="P104" s="129"/>
      <c r="Q104" s="136"/>
      <c r="R104" s="139"/>
      <c r="S104" s="129"/>
      <c r="T104" s="129"/>
      <c r="U104" s="129"/>
      <c r="V104" s="131"/>
      <c r="W104" s="45"/>
      <c r="X104" s="32"/>
      <c r="Z104" s="28"/>
      <c r="AB104" s="28"/>
      <c r="AD104" s="28"/>
    </row>
    <row r="105" spans="1:37" s="29" customFormat="1" ht="6" customHeight="1">
      <c r="A105" s="81"/>
      <c r="D105" s="38"/>
      <c r="E105" s="38"/>
      <c r="F105" s="38"/>
      <c r="G105" s="38"/>
      <c r="H105" s="38"/>
      <c r="L105" s="38"/>
      <c r="M105" s="30"/>
      <c r="N105" s="30"/>
      <c r="P105" s="129"/>
      <c r="Q105" s="129"/>
      <c r="R105" s="129"/>
      <c r="S105" s="129"/>
      <c r="T105" s="129"/>
      <c r="U105" s="129"/>
      <c r="V105" s="130"/>
      <c r="W105" s="46"/>
      <c r="X105" s="11"/>
      <c r="Y105" s="11"/>
      <c r="Z105" s="2"/>
      <c r="AA105" s="4"/>
      <c r="AB105" s="2"/>
      <c r="AC105" s="4"/>
      <c r="AD105" s="2"/>
      <c r="AE105" s="4"/>
      <c r="AF105" s="2"/>
      <c r="AG105" s="4"/>
      <c r="AH105" s="2"/>
      <c r="AI105" s="4"/>
      <c r="AJ105" s="2"/>
      <c r="AK105" s="4"/>
    </row>
    <row r="106" spans="1:37" s="14" customFormat="1" ht="16.5">
      <c r="A106" s="13" t="s">
        <v>124</v>
      </c>
      <c r="C106" s="13"/>
      <c r="K106" s="124"/>
      <c r="N106" s="125"/>
      <c r="O106" s="127">
        <f>+M104+M100+M94+M90+M86+M76+M67+M41+M34</f>
        <v>1</v>
      </c>
      <c r="P106" s="95"/>
      <c r="Q106" s="95"/>
      <c r="R106" s="95"/>
      <c r="S106" s="95"/>
      <c r="T106" s="95"/>
      <c r="U106" s="95"/>
      <c r="V106" s="126"/>
      <c r="W106" s="95"/>
      <c r="X106" s="11"/>
      <c r="Y106" s="11"/>
      <c r="Z106" s="2"/>
      <c r="AA106" s="4"/>
      <c r="AB106" s="2"/>
      <c r="AC106" s="4"/>
      <c r="AD106" s="2"/>
      <c r="AE106" s="4"/>
      <c r="AF106" s="2"/>
      <c r="AG106" s="4"/>
      <c r="AH106" s="2"/>
      <c r="AI106" s="4"/>
      <c r="AJ106" s="2"/>
      <c r="AK106" s="4"/>
    </row>
    <row r="107" spans="1:37" s="14" customFormat="1" ht="15.75">
      <c r="A107" s="13" t="s">
        <v>134</v>
      </c>
      <c r="D107" s="37"/>
      <c r="E107" s="37"/>
      <c r="F107" s="37"/>
      <c r="G107" s="37"/>
      <c r="H107" s="37"/>
      <c r="L107" s="37"/>
      <c r="M107" s="95"/>
      <c r="N107" s="95"/>
      <c r="P107" s="15"/>
      <c r="Q107" s="15"/>
      <c r="R107" s="15"/>
      <c r="S107" s="15"/>
      <c r="T107" s="15"/>
      <c r="U107" s="15"/>
      <c r="V107" s="95"/>
      <c r="W107" s="95"/>
      <c r="X107" s="11"/>
      <c r="Y107" s="11"/>
      <c r="Z107" s="2"/>
      <c r="AA107" s="4"/>
      <c r="AB107" s="2"/>
      <c r="AC107" s="4"/>
      <c r="AD107" s="2"/>
      <c r="AE107" s="4"/>
      <c r="AF107" s="2"/>
      <c r="AG107" s="4"/>
      <c r="AH107" s="2"/>
      <c r="AI107" s="4"/>
      <c r="AJ107" s="2"/>
      <c r="AK107" s="4"/>
    </row>
    <row r="108" spans="1:37" s="29" customFormat="1" ht="6" customHeight="1">
      <c r="A108" s="81"/>
      <c r="D108" s="38"/>
      <c r="E108" s="38"/>
      <c r="F108" s="38"/>
      <c r="G108" s="38"/>
      <c r="H108" s="38"/>
      <c r="L108" s="38"/>
      <c r="M108" s="30"/>
      <c r="N108" s="30"/>
      <c r="P108" s="129"/>
      <c r="Q108" s="129"/>
      <c r="R108" s="129"/>
      <c r="S108" s="129"/>
      <c r="T108" s="129"/>
      <c r="U108" s="129"/>
      <c r="V108" s="130"/>
      <c r="W108" s="46"/>
      <c r="X108" s="11"/>
      <c r="Y108" s="11"/>
      <c r="Z108" s="2"/>
      <c r="AA108" s="4"/>
      <c r="AB108" s="2"/>
      <c r="AC108" s="4"/>
      <c r="AD108" s="2"/>
      <c r="AE108" s="4"/>
      <c r="AF108" s="2"/>
      <c r="AG108" s="4"/>
      <c r="AH108" s="2"/>
      <c r="AI108" s="4"/>
      <c r="AJ108" s="2"/>
      <c r="AK108" s="4"/>
    </row>
    <row r="109" spans="1:37" s="14" customFormat="1" ht="15.75">
      <c r="A109" s="13" t="s">
        <v>41</v>
      </c>
      <c r="C109" s="13"/>
      <c r="K109" s="124"/>
      <c r="M109" s="125" t="s">
        <v>13</v>
      </c>
      <c r="N109" s="125" t="s">
        <v>5</v>
      </c>
      <c r="O109" s="125" t="s">
        <v>137</v>
      </c>
      <c r="P109" s="95" t="s">
        <v>20</v>
      </c>
      <c r="Q109" s="95" t="s">
        <v>14</v>
      </c>
      <c r="R109" s="95" t="s">
        <v>21</v>
      </c>
      <c r="S109" s="95" t="s">
        <v>15</v>
      </c>
      <c r="T109" s="95"/>
      <c r="U109" s="95"/>
      <c r="V109" s="95" t="s">
        <v>19</v>
      </c>
      <c r="W109" s="95"/>
      <c r="X109" s="11"/>
      <c r="Y109" s="11"/>
      <c r="Z109" s="2"/>
      <c r="AA109" s="4"/>
      <c r="AB109" s="2"/>
      <c r="AC109" s="4"/>
      <c r="AD109" s="2"/>
      <c r="AE109" s="4"/>
      <c r="AF109" s="2"/>
      <c r="AG109" s="4"/>
      <c r="AH109" s="2"/>
      <c r="AI109" s="4"/>
      <c r="AJ109" s="2"/>
      <c r="AK109" s="4"/>
    </row>
    <row r="110" spans="1:37" s="29" customFormat="1" ht="6" customHeight="1">
      <c r="A110" s="81"/>
      <c r="D110" s="38"/>
      <c r="E110" s="38"/>
      <c r="F110" s="38"/>
      <c r="G110" s="38"/>
      <c r="H110" s="38"/>
      <c r="L110" s="38"/>
      <c r="M110" s="30"/>
      <c r="N110" s="30"/>
      <c r="P110" s="129"/>
      <c r="Q110" s="129"/>
      <c r="R110" s="129"/>
      <c r="S110" s="129"/>
      <c r="T110" s="129"/>
      <c r="U110" s="129"/>
      <c r="V110" s="130"/>
      <c r="W110" s="46"/>
      <c r="X110" s="11"/>
      <c r="Y110" s="11"/>
      <c r="Z110" s="2"/>
      <c r="AA110" s="4"/>
      <c r="AB110" s="2"/>
      <c r="AC110" s="4"/>
      <c r="AD110" s="2"/>
      <c r="AE110" s="4"/>
      <c r="AF110" s="2"/>
      <c r="AG110" s="4"/>
      <c r="AH110" s="2"/>
      <c r="AI110" s="4"/>
      <c r="AJ110" s="2"/>
      <c r="AK110" s="4"/>
    </row>
    <row r="111" spans="1:37" s="8" customFormat="1" ht="16.5">
      <c r="A111" s="80">
        <v>10</v>
      </c>
      <c r="B111" s="9" t="s">
        <v>77</v>
      </c>
      <c r="E111" s="9"/>
      <c r="F111" s="9"/>
      <c r="G111" s="9"/>
      <c r="H111" s="9"/>
      <c r="L111" s="9"/>
      <c r="M111" s="41"/>
      <c r="N111" s="35"/>
      <c r="P111" s="129"/>
      <c r="Q111" s="129"/>
      <c r="R111" s="129"/>
      <c r="S111" s="129"/>
      <c r="T111" s="129"/>
      <c r="U111" s="129"/>
      <c r="V111" s="131"/>
      <c r="W111" s="45"/>
      <c r="X111" s="36"/>
      <c r="Y111" s="36"/>
      <c r="Z111" s="10"/>
      <c r="AA111" s="67"/>
      <c r="AB111" s="10"/>
      <c r="AC111" s="67"/>
      <c r="AD111" s="10"/>
      <c r="AE111" s="67"/>
      <c r="AF111" s="10"/>
      <c r="AG111" s="67"/>
      <c r="AH111" s="10"/>
      <c r="AI111" s="67"/>
      <c r="AJ111" s="10"/>
      <c r="AK111" s="67"/>
    </row>
    <row r="112" spans="1:37" s="8" customFormat="1" ht="16.5">
      <c r="A112" s="80">
        <v>10.1</v>
      </c>
      <c r="B112" s="109">
        <v>0</v>
      </c>
      <c r="C112" s="73" t="s">
        <v>194</v>
      </c>
      <c r="E112" s="9"/>
      <c r="F112" s="9"/>
      <c r="G112" s="9"/>
      <c r="H112" s="9"/>
      <c r="L112" s="9"/>
      <c r="M112" s="41"/>
      <c r="N112" s="35"/>
      <c r="P112" s="129"/>
      <c r="Q112" s="129"/>
      <c r="R112" s="129"/>
      <c r="S112" s="129"/>
      <c r="T112" s="129"/>
      <c r="U112" s="129"/>
      <c r="V112" s="131"/>
      <c r="W112" s="45"/>
      <c r="X112" s="36"/>
      <c r="Y112" s="36"/>
      <c r="Z112" s="10"/>
      <c r="AA112" s="67"/>
      <c r="AB112" s="10"/>
      <c r="AC112" s="67"/>
      <c r="AD112" s="10"/>
      <c r="AE112" s="67"/>
      <c r="AF112" s="10"/>
      <c r="AG112" s="67"/>
      <c r="AH112" s="10"/>
      <c r="AI112" s="67"/>
      <c r="AJ112" s="10"/>
      <c r="AK112" s="67"/>
    </row>
    <row r="113" spans="1:37" s="8" customFormat="1" ht="16.5">
      <c r="A113" s="80"/>
      <c r="B113" s="18" t="s">
        <v>2</v>
      </c>
      <c r="C113" s="26">
        <f>+IF(offene_Ackerfläche&gt;0,B112/offene_Ackerfläche,0)</f>
        <v>0</v>
      </c>
      <c r="D113" s="8" t="s">
        <v>70</v>
      </c>
      <c r="M113" s="42">
        <f>+IF(C113&gt;AF113,AG113,IF(C113&gt;AD113,AE113,IF(C113&gt;AB113,AC113,IF(C113&gt;=Z113,AA113,0))))</f>
        <v>0</v>
      </c>
      <c r="N113" s="21" t="e">
        <f>+B112*#REF!</f>
        <v>#REF!</v>
      </c>
      <c r="P113" s="136" t="str">
        <f>+Z113*100&amp;"-"&amp;AB113*100</f>
        <v>3-5</v>
      </c>
      <c r="Q113" s="129" t="str">
        <f>+"&gt;"&amp;AB113*100&amp;"-"&amp;AD113*100</f>
        <v>&gt;5-10</v>
      </c>
      <c r="R113" s="129" t="str">
        <f>+"&gt;"&amp;AD113*100&amp;"-"&amp;AF113*100</f>
        <v>&gt;10-20</v>
      </c>
      <c r="S113" s="129" t="str">
        <f>+"&gt;"&amp;AF113*100</f>
        <v>&gt;20</v>
      </c>
      <c r="T113" s="132"/>
      <c r="U113" s="129"/>
      <c r="V113" s="131" t="s">
        <v>67</v>
      </c>
      <c r="W113" s="45"/>
      <c r="X113" s="43"/>
      <c r="Y113" s="36"/>
      <c r="Z113" s="44">
        <v>0.03</v>
      </c>
      <c r="AA113" s="67">
        <v>0.5</v>
      </c>
      <c r="AB113" s="44">
        <v>0.05</v>
      </c>
      <c r="AC113" s="67">
        <v>1</v>
      </c>
      <c r="AD113" s="44">
        <v>0.1</v>
      </c>
      <c r="AE113" s="67">
        <v>1.5</v>
      </c>
      <c r="AF113" s="44">
        <v>0.2</v>
      </c>
      <c r="AG113" s="67">
        <v>2</v>
      </c>
      <c r="AH113" s="44"/>
      <c r="AI113" s="67"/>
      <c r="AJ113" s="44"/>
      <c r="AK113" s="67"/>
    </row>
    <row r="114" spans="1:37" s="8" customFormat="1" ht="16.5">
      <c r="A114" s="80">
        <v>10.2</v>
      </c>
      <c r="B114" s="109">
        <v>0</v>
      </c>
      <c r="C114" s="73" t="s">
        <v>63</v>
      </c>
      <c r="E114" s="9"/>
      <c r="F114" s="9"/>
      <c r="G114" s="9"/>
      <c r="H114" s="9"/>
      <c r="L114" s="9"/>
      <c r="M114" s="42"/>
      <c r="N114" s="21"/>
      <c r="P114" s="136"/>
      <c r="Q114" s="129"/>
      <c r="R114" s="129"/>
      <c r="S114" s="129"/>
      <c r="T114" s="129"/>
      <c r="U114" s="129"/>
      <c r="V114" s="131"/>
      <c r="W114" s="45"/>
      <c r="X114" s="43"/>
      <c r="Y114" s="36"/>
      <c r="Z114" s="44"/>
      <c r="AA114" s="67"/>
      <c r="AB114" s="44"/>
      <c r="AC114" s="67"/>
      <c r="AD114" s="44"/>
      <c r="AE114" s="67"/>
      <c r="AF114" s="10"/>
      <c r="AG114" s="67"/>
      <c r="AH114" s="10"/>
      <c r="AI114" s="67"/>
      <c r="AJ114" s="10"/>
      <c r="AK114" s="67"/>
    </row>
    <row r="115" spans="1:37" s="8" customFormat="1" ht="16.5">
      <c r="A115" s="80"/>
      <c r="B115" s="18" t="s">
        <v>2</v>
      </c>
      <c r="C115" s="26">
        <f>+IF(offene_Ackerfläche&gt;0,B114/offene_Ackerfläche,0)</f>
        <v>0</v>
      </c>
      <c r="D115" s="8" t="s">
        <v>70</v>
      </c>
      <c r="M115" s="42">
        <f>+IF(C115&gt;AF115,AG115,IF(C115&gt;AD115,AE115,IF(C115&gt;AB115,AC115,IF(C115&gt;=Z115,AA115,0))))</f>
        <v>0</v>
      </c>
      <c r="N115" s="21" t="e">
        <f>+#REF!*#REF!</f>
        <v>#REF!</v>
      </c>
      <c r="P115" s="136" t="str">
        <f>+Z115*100&amp;"-"&amp;AB115*100</f>
        <v>3-5</v>
      </c>
      <c r="Q115" s="129" t="str">
        <f>+"&gt;"&amp;AB115*100&amp;"-"&amp;AD115*100</f>
        <v>&gt;5-10</v>
      </c>
      <c r="R115" s="129" t="str">
        <f>+"&gt;"&amp;AD115*100&amp;"-"&amp;AF115*100</f>
        <v>&gt;10-20</v>
      </c>
      <c r="S115" s="129" t="str">
        <f>+"&gt;"&amp;AF115*100</f>
        <v>&gt;20</v>
      </c>
      <c r="T115" s="132"/>
      <c r="U115" s="129"/>
      <c r="V115" s="131" t="s">
        <v>67</v>
      </c>
      <c r="W115" s="45"/>
      <c r="X115" s="43"/>
      <c r="Y115" s="36"/>
      <c r="Z115" s="44">
        <v>0.03</v>
      </c>
      <c r="AA115" s="67">
        <v>0.5</v>
      </c>
      <c r="AB115" s="44">
        <v>0.05</v>
      </c>
      <c r="AC115" s="67">
        <v>1</v>
      </c>
      <c r="AD115" s="44">
        <v>0.1</v>
      </c>
      <c r="AE115" s="67">
        <v>1.5</v>
      </c>
      <c r="AF115" s="44">
        <v>0.2</v>
      </c>
      <c r="AG115" s="67">
        <v>2</v>
      </c>
      <c r="AH115" s="44"/>
      <c r="AI115" s="67"/>
      <c r="AJ115" s="44"/>
      <c r="AK115" s="67"/>
    </row>
    <row r="116" spans="1:37" s="8" customFormat="1" ht="16.5">
      <c r="A116" s="80">
        <v>10.3</v>
      </c>
      <c r="B116" s="109">
        <v>0</v>
      </c>
      <c r="C116" s="45" t="s">
        <v>64</v>
      </c>
      <c r="D116" s="26"/>
      <c r="M116" s="42"/>
      <c r="N116" s="21"/>
      <c r="P116" s="140"/>
      <c r="Q116" s="129"/>
      <c r="R116" s="129"/>
      <c r="S116" s="129"/>
      <c r="T116" s="129"/>
      <c r="U116" s="129"/>
      <c r="V116" s="131"/>
      <c r="W116" s="45"/>
      <c r="X116" s="43"/>
      <c r="Y116" s="36"/>
      <c r="Z116" s="44"/>
      <c r="AA116" s="67"/>
      <c r="AB116" s="44"/>
      <c r="AC116" s="67"/>
      <c r="AD116" s="44"/>
      <c r="AE116" s="67"/>
      <c r="AF116" s="44"/>
      <c r="AG116" s="67"/>
      <c r="AH116" s="10"/>
      <c r="AI116" s="67"/>
      <c r="AJ116" s="10"/>
      <c r="AK116" s="67"/>
    </row>
    <row r="117" spans="2:37" s="8" customFormat="1" ht="16.5">
      <c r="B117" s="18" t="s">
        <v>2</v>
      </c>
      <c r="C117" s="26">
        <f>+IF(offene_Ackerfläche&gt;0,B116/offene_Ackerfläche,0)</f>
        <v>0</v>
      </c>
      <c r="D117" s="8" t="s">
        <v>70</v>
      </c>
      <c r="M117" s="42">
        <f>+IF(C117&gt;AF117,AG117,IF(C117&gt;AD117,AE117,IF(C117&gt;AB117,AC117,IF(C117&gt;=Z117,AA117,0))))</f>
        <v>0</v>
      </c>
      <c r="N117" s="21" t="e">
        <f>+B116*#REF!</f>
        <v>#REF!</v>
      </c>
      <c r="P117" s="136" t="str">
        <f>+Z117*100&amp;"-"&amp;AB117*100</f>
        <v>3-5</v>
      </c>
      <c r="Q117" s="129" t="str">
        <f>+"&gt;"&amp;AB117*100&amp;"-"&amp;AD117*100</f>
        <v>&gt;5-10</v>
      </c>
      <c r="R117" s="129" t="str">
        <f>+"&gt;"&amp;AD117*100&amp;"-"&amp;AF117*100</f>
        <v>&gt;10-20</v>
      </c>
      <c r="S117" s="129" t="str">
        <f>+"&gt;"&amp;AF117*100</f>
        <v>&gt;20</v>
      </c>
      <c r="T117" s="132"/>
      <c r="U117" s="129"/>
      <c r="V117" s="131" t="s">
        <v>67</v>
      </c>
      <c r="W117" s="45"/>
      <c r="X117" s="43"/>
      <c r="Y117" s="36"/>
      <c r="Z117" s="44">
        <v>0.03</v>
      </c>
      <c r="AA117" s="67">
        <v>0.5</v>
      </c>
      <c r="AB117" s="44">
        <v>0.05</v>
      </c>
      <c r="AC117" s="67">
        <v>1</v>
      </c>
      <c r="AD117" s="44">
        <v>0.1</v>
      </c>
      <c r="AE117" s="67">
        <v>1.5</v>
      </c>
      <c r="AF117" s="44">
        <v>0.2</v>
      </c>
      <c r="AG117" s="67">
        <v>2</v>
      </c>
      <c r="AH117" s="44"/>
      <c r="AI117" s="67"/>
      <c r="AJ117" s="44"/>
      <c r="AK117" s="67"/>
    </row>
    <row r="118" spans="1:37" s="8" customFormat="1" ht="16.5">
      <c r="A118" s="80">
        <v>10.4</v>
      </c>
      <c r="B118" s="109">
        <v>0</v>
      </c>
      <c r="C118" s="45" t="s">
        <v>181</v>
      </c>
      <c r="D118" s="26"/>
      <c r="M118" s="42"/>
      <c r="N118" s="21"/>
      <c r="P118" s="140"/>
      <c r="Q118" s="129"/>
      <c r="R118" s="129"/>
      <c r="S118" s="129"/>
      <c r="T118" s="129"/>
      <c r="U118" s="129"/>
      <c r="V118" s="131"/>
      <c r="W118" s="45"/>
      <c r="X118" s="43"/>
      <c r="Y118" s="36"/>
      <c r="Z118" s="44"/>
      <c r="AA118" s="67"/>
      <c r="AB118" s="44"/>
      <c r="AC118" s="67"/>
      <c r="AD118" s="44"/>
      <c r="AE118" s="67"/>
      <c r="AF118" s="44"/>
      <c r="AG118" s="67"/>
      <c r="AH118" s="10"/>
      <c r="AI118" s="67"/>
      <c r="AJ118" s="10"/>
      <c r="AK118" s="67"/>
    </row>
    <row r="119" spans="2:37" s="8" customFormat="1" ht="16.5">
      <c r="B119" s="18" t="s">
        <v>2</v>
      </c>
      <c r="C119" s="26">
        <f>+IF(offene_Ackerfläche&gt;0,B118/offene_Ackerfläche,0)</f>
        <v>0</v>
      </c>
      <c r="D119" s="8" t="s">
        <v>70</v>
      </c>
      <c r="M119" s="42">
        <f>+IF(C119&gt;AF119,AG119,IF(C119&gt;AD119,AE119,IF(C119&gt;AB119,AC119,IF(C119&gt;=Z119,AA119,0))))</f>
        <v>0</v>
      </c>
      <c r="N119" s="21" t="e">
        <f>+B118*#REF!</f>
        <v>#REF!</v>
      </c>
      <c r="P119" s="136" t="str">
        <f>+Z119*100&amp;"-"&amp;AB119*100</f>
        <v>10-15</v>
      </c>
      <c r="Q119" s="129" t="str">
        <f>+"&gt;"&amp;AB119*100&amp;"-"&amp;AD119*100</f>
        <v>&gt;15-20</v>
      </c>
      <c r="R119" s="129" t="str">
        <f>+"&gt;"&amp;AD119*100&amp;"-"&amp;AF119*100</f>
        <v>&gt;20-25</v>
      </c>
      <c r="S119" s="129" t="str">
        <f>+"&gt;"&amp;AF119*100</f>
        <v>&gt;25</v>
      </c>
      <c r="T119" s="129"/>
      <c r="U119" s="129"/>
      <c r="V119" s="131" t="s">
        <v>67</v>
      </c>
      <c r="W119" s="45"/>
      <c r="X119" s="43"/>
      <c r="Y119" s="36"/>
      <c r="Z119" s="44">
        <v>0.1</v>
      </c>
      <c r="AA119" s="67">
        <v>0.5</v>
      </c>
      <c r="AB119" s="44">
        <v>0.15</v>
      </c>
      <c r="AC119" s="67">
        <v>1</v>
      </c>
      <c r="AD119" s="44">
        <v>0.2</v>
      </c>
      <c r="AE119" s="67">
        <v>1.5</v>
      </c>
      <c r="AF119" s="44">
        <v>0.25</v>
      </c>
      <c r="AG119" s="67">
        <v>2</v>
      </c>
      <c r="AH119" s="10"/>
      <c r="AI119" s="67"/>
      <c r="AJ119" s="10"/>
      <c r="AK119" s="67"/>
    </row>
    <row r="120" spans="1:37" s="8" customFormat="1" ht="16.5">
      <c r="A120" s="80">
        <v>10.5</v>
      </c>
      <c r="B120" s="109">
        <v>0</v>
      </c>
      <c r="C120" s="84" t="s">
        <v>195</v>
      </c>
      <c r="D120" s="26"/>
      <c r="M120" s="42"/>
      <c r="N120" s="21"/>
      <c r="P120" s="136"/>
      <c r="Q120" s="129"/>
      <c r="R120" s="129"/>
      <c r="S120" s="129"/>
      <c r="T120" s="129"/>
      <c r="U120" s="129"/>
      <c r="V120" s="131"/>
      <c r="W120" s="45"/>
      <c r="X120" s="43"/>
      <c r="Y120" s="36"/>
      <c r="Z120" s="44"/>
      <c r="AA120" s="67"/>
      <c r="AB120" s="44"/>
      <c r="AC120" s="67"/>
      <c r="AD120" s="44"/>
      <c r="AE120" s="67"/>
      <c r="AF120" s="44"/>
      <c r="AG120" s="67"/>
      <c r="AH120" s="10"/>
      <c r="AI120" s="67"/>
      <c r="AJ120" s="10"/>
      <c r="AK120" s="67"/>
    </row>
    <row r="121" spans="2:37" s="8" customFormat="1" ht="16.5">
      <c r="B121" s="18" t="s">
        <v>2</v>
      </c>
      <c r="C121" s="26">
        <f>+IF(offene_Ackerfläche&gt;0,B120/offene_Ackerfläche,0)</f>
        <v>0</v>
      </c>
      <c r="D121" s="8" t="s">
        <v>70</v>
      </c>
      <c r="I121" s="45"/>
      <c r="J121" s="45"/>
      <c r="K121" s="45"/>
      <c r="M121" s="42">
        <f>+IF(C121&gt;AF121,AG121,IF(C121&gt;AD121,AE121,IF(C121&gt;AB121,AC121,IF(C121&gt;=Z121,AA121,0))))</f>
        <v>0</v>
      </c>
      <c r="N121" s="21" t="e">
        <f>+B120*#REF!</f>
        <v>#REF!</v>
      </c>
      <c r="P121" s="136" t="str">
        <f>+Z121*100&amp;"-"&amp;AB121*100</f>
        <v>10-15</v>
      </c>
      <c r="Q121" s="129" t="str">
        <f>+"&gt;"&amp;AB121*100&amp;"-"&amp;AD121*100</f>
        <v>&gt;15-20</v>
      </c>
      <c r="R121" s="129" t="str">
        <f>+"&gt;"&amp;AD121*100&amp;"-"&amp;AF121*100</f>
        <v>&gt;20-25</v>
      </c>
      <c r="S121" s="129" t="str">
        <f>+"&gt;"&amp;AF121*100</f>
        <v>&gt;25</v>
      </c>
      <c r="T121" s="129"/>
      <c r="U121" s="129"/>
      <c r="V121" s="131" t="s">
        <v>67</v>
      </c>
      <c r="W121" s="45"/>
      <c r="X121" s="43"/>
      <c r="Y121" s="36"/>
      <c r="Z121" s="44">
        <v>0.1</v>
      </c>
      <c r="AA121" s="67">
        <v>0.5</v>
      </c>
      <c r="AB121" s="44">
        <v>0.15</v>
      </c>
      <c r="AC121" s="67">
        <v>1</v>
      </c>
      <c r="AD121" s="44">
        <v>0.2</v>
      </c>
      <c r="AE121" s="67">
        <v>1.5</v>
      </c>
      <c r="AF121" s="44">
        <v>0.25</v>
      </c>
      <c r="AG121" s="67">
        <v>2</v>
      </c>
      <c r="AH121" s="10"/>
      <c r="AI121" s="67"/>
      <c r="AJ121" s="10"/>
      <c r="AK121" s="67"/>
    </row>
    <row r="122" spans="1:37" s="8" customFormat="1" ht="16.5">
      <c r="A122" s="80">
        <v>10.6</v>
      </c>
      <c r="B122" s="109">
        <v>0</v>
      </c>
      <c r="C122" s="84" t="s">
        <v>133</v>
      </c>
      <c r="E122" s="45"/>
      <c r="F122" s="45"/>
      <c r="G122" s="45"/>
      <c r="H122" s="45"/>
      <c r="I122" s="45"/>
      <c r="J122" s="45"/>
      <c r="K122" s="45"/>
      <c r="L122" s="45"/>
      <c r="M122" s="42"/>
      <c r="N122" s="21" t="e">
        <f>+B122*#REF!</f>
        <v>#REF!</v>
      </c>
      <c r="P122" s="136"/>
      <c r="Q122" s="129"/>
      <c r="R122" s="129"/>
      <c r="S122" s="129"/>
      <c r="T122" s="129"/>
      <c r="U122" s="129"/>
      <c r="V122" s="131"/>
      <c r="W122" s="45"/>
      <c r="X122" s="43"/>
      <c r="Y122" s="36"/>
      <c r="Z122" s="44"/>
      <c r="AA122" s="67"/>
      <c r="AB122" s="44"/>
      <c r="AC122" s="67"/>
      <c r="AD122" s="44"/>
      <c r="AE122" s="67"/>
      <c r="AF122" s="10"/>
      <c r="AG122" s="67"/>
      <c r="AH122" s="10"/>
      <c r="AI122" s="67"/>
      <c r="AJ122" s="10"/>
      <c r="AK122" s="67"/>
    </row>
    <row r="123" spans="2:37" s="8" customFormat="1" ht="16.5">
      <c r="B123" s="18" t="s">
        <v>2</v>
      </c>
      <c r="C123" s="26">
        <f>+IF(offene_Ackerfläche&gt;0,B122/offene_Ackerfläche,0)</f>
        <v>0</v>
      </c>
      <c r="D123" s="8" t="s">
        <v>70</v>
      </c>
      <c r="I123" s="45"/>
      <c r="J123" s="45"/>
      <c r="K123" s="45"/>
      <c r="M123" s="42">
        <f>+IF(C123&gt;AF123,AG123,IF(C123&gt;AD123,AE123,IF(C123&gt;AB123,AC123,IF(C123&gt;=Z123,AA123,0))))</f>
        <v>0</v>
      </c>
      <c r="N123" s="21" t="e">
        <f>+B122*#REF!</f>
        <v>#REF!</v>
      </c>
      <c r="P123" s="136" t="str">
        <f>+Z123*100&amp;"-"&amp;AB123*100</f>
        <v>10-15</v>
      </c>
      <c r="Q123" s="129" t="str">
        <f>+"&gt;"&amp;AB123*100&amp;"-"&amp;AD123*100</f>
        <v>&gt;15-20</v>
      </c>
      <c r="R123" s="129" t="str">
        <f>+"&gt;"&amp;AD123*100&amp;"-"&amp;AF123*100</f>
        <v>&gt;20-25</v>
      </c>
      <c r="S123" s="129" t="str">
        <f>+"&gt;"&amp;AF123*100</f>
        <v>&gt;25</v>
      </c>
      <c r="T123" s="129"/>
      <c r="U123" s="129"/>
      <c r="V123" s="131" t="s">
        <v>67</v>
      </c>
      <c r="W123" s="45"/>
      <c r="X123" s="43"/>
      <c r="Y123" s="36"/>
      <c r="Z123" s="44">
        <v>0.1</v>
      </c>
      <c r="AA123" s="67">
        <v>0.5</v>
      </c>
      <c r="AB123" s="44">
        <v>0.15</v>
      </c>
      <c r="AC123" s="67">
        <v>1</v>
      </c>
      <c r="AD123" s="44">
        <v>0.2</v>
      </c>
      <c r="AE123" s="67">
        <v>1.5</v>
      </c>
      <c r="AF123" s="44">
        <v>0.25</v>
      </c>
      <c r="AG123" s="67">
        <v>2</v>
      </c>
      <c r="AH123" s="10"/>
      <c r="AI123" s="67"/>
      <c r="AJ123" s="10"/>
      <c r="AK123" s="67"/>
    </row>
    <row r="124" spans="1:37" s="8" customFormat="1" ht="16.5">
      <c r="A124" s="80">
        <v>10.7</v>
      </c>
      <c r="B124" s="109">
        <v>0</v>
      </c>
      <c r="C124" s="84" t="s">
        <v>196</v>
      </c>
      <c r="E124" s="45"/>
      <c r="F124" s="45"/>
      <c r="G124" s="45"/>
      <c r="H124" s="45"/>
      <c r="I124" s="45"/>
      <c r="J124" s="45"/>
      <c r="K124" s="45"/>
      <c r="L124" s="45"/>
      <c r="M124" s="20"/>
      <c r="N124" s="20"/>
      <c r="P124" s="129"/>
      <c r="Q124" s="136"/>
      <c r="R124" s="129"/>
      <c r="S124" s="129"/>
      <c r="T124" s="129"/>
      <c r="U124" s="129"/>
      <c r="V124" s="131"/>
      <c r="W124" s="45"/>
      <c r="X124" s="77"/>
      <c r="Y124" s="22"/>
      <c r="Z124" s="28"/>
      <c r="AA124" s="67"/>
      <c r="AB124" s="28"/>
      <c r="AC124" s="67"/>
      <c r="AD124" s="28"/>
      <c r="AE124" s="67"/>
      <c r="AF124" s="28"/>
      <c r="AG124" s="67"/>
      <c r="AH124" s="10"/>
      <c r="AI124" s="67"/>
      <c r="AJ124" s="10"/>
      <c r="AK124" s="67"/>
    </row>
    <row r="125" spans="1:37" s="45" customFormat="1" ht="16.5">
      <c r="A125" s="80"/>
      <c r="B125" s="18" t="s">
        <v>2</v>
      </c>
      <c r="C125" s="26">
        <f>+IF(offene_Ackerfläche&gt;0,B124/offene_Ackerfläche,0)</f>
        <v>0</v>
      </c>
      <c r="D125" s="8" t="s">
        <v>70</v>
      </c>
      <c r="F125" s="8"/>
      <c r="G125" s="8"/>
      <c r="H125" s="8"/>
      <c r="L125" s="8"/>
      <c r="M125" s="42">
        <f>+IF(C125&gt;AF125,AG125,IF(C125&gt;AD125,AE125,IF(C125&gt;AB125,AC125,IF(C125&gt;=Z125,AA125,0))))</f>
        <v>0</v>
      </c>
      <c r="N125" s="46"/>
      <c r="P125" s="136" t="str">
        <f>+Z125*100&amp;"-"&amp;AB125*100</f>
        <v>1.5-2</v>
      </c>
      <c r="Q125" s="129" t="str">
        <f>+"&gt;"&amp;AB125*100&amp;"-"&amp;AD125*100</f>
        <v>&gt;2-2.5</v>
      </c>
      <c r="R125" s="129" t="str">
        <f>+"&gt;"&amp;AD125*100&amp;"-"&amp;AF125*100</f>
        <v>&gt;2.5-3</v>
      </c>
      <c r="S125" s="129" t="str">
        <f>+"&gt;"&amp;AF125*100</f>
        <v>&gt;3</v>
      </c>
      <c r="T125" s="129"/>
      <c r="U125" s="129"/>
      <c r="V125" s="131" t="s">
        <v>67</v>
      </c>
      <c r="X125" s="43"/>
      <c r="Y125" s="47"/>
      <c r="Z125" s="28">
        <v>0.015</v>
      </c>
      <c r="AA125" s="67">
        <v>0.5</v>
      </c>
      <c r="AB125" s="28">
        <v>0.02</v>
      </c>
      <c r="AC125" s="70">
        <v>1</v>
      </c>
      <c r="AD125" s="28">
        <v>0.025</v>
      </c>
      <c r="AE125" s="70">
        <v>1.5</v>
      </c>
      <c r="AF125" s="28">
        <v>0.03</v>
      </c>
      <c r="AG125" s="70">
        <v>2</v>
      </c>
      <c r="AH125" s="48"/>
      <c r="AI125" s="70"/>
      <c r="AJ125" s="48"/>
      <c r="AK125" s="70"/>
    </row>
    <row r="126" spans="1:37" s="45" customFormat="1" ht="16.5">
      <c r="A126" s="85" t="s">
        <v>123</v>
      </c>
      <c r="B126" s="109">
        <v>0</v>
      </c>
      <c r="C126" s="84" t="s">
        <v>186</v>
      </c>
      <c r="D126" s="26"/>
      <c r="E126" s="8"/>
      <c r="F126" s="8"/>
      <c r="G126" s="8"/>
      <c r="H126" s="8"/>
      <c r="L126" s="8"/>
      <c r="M126" s="42"/>
      <c r="N126" s="46"/>
      <c r="P126" s="136"/>
      <c r="Q126" s="129"/>
      <c r="R126" s="129"/>
      <c r="S126" s="129"/>
      <c r="T126" s="129"/>
      <c r="U126" s="129"/>
      <c r="V126" s="131"/>
      <c r="X126" s="43"/>
      <c r="Y126" s="47"/>
      <c r="Z126" s="28"/>
      <c r="AA126" s="67"/>
      <c r="AB126" s="28"/>
      <c r="AC126" s="70"/>
      <c r="AD126" s="28"/>
      <c r="AE126" s="70"/>
      <c r="AF126" s="48"/>
      <c r="AG126" s="70"/>
      <c r="AH126" s="48"/>
      <c r="AI126" s="70"/>
      <c r="AJ126" s="48"/>
      <c r="AK126" s="70"/>
    </row>
    <row r="127" spans="1:37" s="45" customFormat="1" ht="16.5">
      <c r="A127" s="81"/>
      <c r="B127" s="18" t="s">
        <v>2</v>
      </c>
      <c r="C127" s="26">
        <f>+IF(offene_Ackerfläche&gt;0,B126/offene_Ackerfläche,0)</f>
        <v>0</v>
      </c>
      <c r="D127" s="8" t="s">
        <v>70</v>
      </c>
      <c r="F127" s="8"/>
      <c r="G127" s="8"/>
      <c r="H127" s="8"/>
      <c r="L127" s="8"/>
      <c r="M127" s="42">
        <f>+IF(C127&gt;AF127,AG127,IF(C127&gt;AD127,AE127,IF(C127&gt;AB127,AC127,IF(C127&gt;=Z127,AA127,0))))</f>
        <v>0</v>
      </c>
      <c r="N127" s="46"/>
      <c r="P127" s="136" t="str">
        <f>+Z127*100&amp;"-"&amp;AB127*100</f>
        <v>5-15</v>
      </c>
      <c r="Q127" s="129" t="str">
        <f>+"&gt;"&amp;AB127*100&amp;"-"&amp;AD127*100</f>
        <v>&gt;15-25</v>
      </c>
      <c r="R127" s="129" t="str">
        <f>+"&gt;"&amp;AD127*100&amp;"-"&amp;AF127*100</f>
        <v>&gt;25-35</v>
      </c>
      <c r="S127" s="129" t="str">
        <f>+"&gt;"&amp;AF127*100</f>
        <v>&gt;35</v>
      </c>
      <c r="T127" s="129"/>
      <c r="U127" s="129"/>
      <c r="V127" s="131" t="s">
        <v>67</v>
      </c>
      <c r="X127" s="43"/>
      <c r="Y127" s="47"/>
      <c r="Z127" s="28">
        <v>0.05</v>
      </c>
      <c r="AA127" s="67">
        <v>0.5</v>
      </c>
      <c r="AB127" s="28">
        <v>0.15</v>
      </c>
      <c r="AC127" s="70">
        <v>1</v>
      </c>
      <c r="AD127" s="28">
        <v>0.25</v>
      </c>
      <c r="AE127" s="70">
        <v>1.5</v>
      </c>
      <c r="AF127" s="28">
        <v>0.35</v>
      </c>
      <c r="AG127" s="70">
        <v>2</v>
      </c>
      <c r="AH127" s="28"/>
      <c r="AI127" s="70"/>
      <c r="AJ127" s="48"/>
      <c r="AK127" s="70"/>
    </row>
    <row r="128" spans="1:37" s="45" customFormat="1" ht="16.5">
      <c r="A128" s="85" t="s">
        <v>204</v>
      </c>
      <c r="B128" s="109">
        <v>0</v>
      </c>
      <c r="C128" s="84" t="s">
        <v>203</v>
      </c>
      <c r="D128" s="26"/>
      <c r="E128" s="8"/>
      <c r="F128" s="8"/>
      <c r="G128" s="8"/>
      <c r="H128" s="8"/>
      <c r="L128" s="8"/>
      <c r="M128" s="42"/>
      <c r="N128" s="46"/>
      <c r="P128" s="136"/>
      <c r="Q128" s="129"/>
      <c r="R128" s="129"/>
      <c r="S128" s="129"/>
      <c r="T128" s="129"/>
      <c r="U128" s="129"/>
      <c r="V128" s="131"/>
      <c r="X128" s="43"/>
      <c r="Y128" s="47"/>
      <c r="Z128" s="28"/>
      <c r="AA128" s="67"/>
      <c r="AB128" s="28"/>
      <c r="AC128" s="70"/>
      <c r="AD128" s="28"/>
      <c r="AE128" s="70"/>
      <c r="AF128" s="48"/>
      <c r="AG128" s="70"/>
      <c r="AH128" s="48"/>
      <c r="AI128" s="70"/>
      <c r="AJ128" s="48"/>
      <c r="AK128" s="70"/>
    </row>
    <row r="129" spans="1:37" s="45" customFormat="1" ht="16.5">
      <c r="A129" s="81"/>
      <c r="B129" s="18" t="s">
        <v>2</v>
      </c>
      <c r="C129" s="26">
        <f>+IF(offene_Ackerfläche&gt;0,B128/offene_Ackerfläche,0)</f>
        <v>0</v>
      </c>
      <c r="D129" s="8" t="s">
        <v>70</v>
      </c>
      <c r="F129" s="8"/>
      <c r="G129" s="8"/>
      <c r="H129" s="8"/>
      <c r="L129" s="8"/>
      <c r="M129" s="42">
        <f>+IF(C129&gt;AF129,AG129,IF(C129&gt;AD129,AE129,IF(C129&gt;AB129,AC129,IF(C129&gt;=Z129,AA129,0))))</f>
        <v>0</v>
      </c>
      <c r="N129" s="46"/>
      <c r="P129" s="136" t="str">
        <f>+Z129*100&amp;"-"&amp;AB129*100</f>
        <v>5-15</v>
      </c>
      <c r="Q129" s="129" t="str">
        <f>+"&gt;"&amp;AB129*100&amp;"-"&amp;AD129*100</f>
        <v>&gt;15-25</v>
      </c>
      <c r="R129" s="129" t="str">
        <f>+"&gt;"&amp;AD129*100&amp;"-"&amp;AF129*100</f>
        <v>&gt;25-35</v>
      </c>
      <c r="S129" s="129" t="str">
        <f>+"&gt;"&amp;AF129*100</f>
        <v>&gt;35</v>
      </c>
      <c r="T129" s="129"/>
      <c r="U129" s="129"/>
      <c r="V129" s="131" t="s">
        <v>67</v>
      </c>
      <c r="X129" s="43"/>
      <c r="Y129" s="47"/>
      <c r="Z129" s="28">
        <v>0.05</v>
      </c>
      <c r="AA129" s="67">
        <v>0.5</v>
      </c>
      <c r="AB129" s="28">
        <v>0.15</v>
      </c>
      <c r="AC129" s="70">
        <v>1</v>
      </c>
      <c r="AD129" s="28">
        <v>0.25</v>
      </c>
      <c r="AE129" s="70">
        <v>1.5</v>
      </c>
      <c r="AF129" s="28">
        <v>0.35</v>
      </c>
      <c r="AG129" s="70">
        <v>2</v>
      </c>
      <c r="AH129" s="28"/>
      <c r="AI129" s="70"/>
      <c r="AJ129" s="48"/>
      <c r="AK129" s="70"/>
    </row>
    <row r="130" spans="1:37" s="45" customFormat="1" ht="16.5">
      <c r="A130" s="85" t="s">
        <v>117</v>
      </c>
      <c r="B130" s="109">
        <v>0</v>
      </c>
      <c r="C130" s="84" t="s">
        <v>118</v>
      </c>
      <c r="D130" s="26"/>
      <c r="E130" s="8"/>
      <c r="F130" s="8"/>
      <c r="G130" s="8"/>
      <c r="H130" s="8"/>
      <c r="L130" s="8"/>
      <c r="M130" s="42"/>
      <c r="N130" s="46"/>
      <c r="P130" s="136"/>
      <c r="Q130" s="129"/>
      <c r="R130" s="129"/>
      <c r="S130" s="129"/>
      <c r="T130" s="129"/>
      <c r="U130" s="129"/>
      <c r="V130" s="131"/>
      <c r="X130" s="43"/>
      <c r="Y130" s="47"/>
      <c r="Z130" s="28"/>
      <c r="AA130" s="67"/>
      <c r="AB130" s="28"/>
      <c r="AC130" s="70"/>
      <c r="AD130" s="28"/>
      <c r="AE130" s="70"/>
      <c r="AF130" s="48"/>
      <c r="AG130" s="70"/>
      <c r="AH130" s="48"/>
      <c r="AI130" s="70"/>
      <c r="AJ130" s="48"/>
      <c r="AK130" s="70"/>
    </row>
    <row r="131" spans="1:37" s="8" customFormat="1" ht="16.5">
      <c r="A131" s="81"/>
      <c r="B131" s="18" t="s">
        <v>2</v>
      </c>
      <c r="C131" s="26">
        <f>+IF(B130&gt;0,B130/offene_Ackerfläche,0)</f>
        <v>0</v>
      </c>
      <c r="D131" s="8" t="s">
        <v>70</v>
      </c>
      <c r="I131" s="45"/>
      <c r="J131" s="45"/>
      <c r="K131" s="45"/>
      <c r="M131" s="42">
        <f>+IF(C131&gt;AF131,AG131,IF(C131&gt;AD131,AE131,IF(C131&gt;AB131,AC131,IF(C131&gt;=Z131,AA131,0))))</f>
        <v>0</v>
      </c>
      <c r="N131" s="49"/>
      <c r="P131" s="136" t="str">
        <f>+Z131*100&amp;"-"&amp;AB131*100</f>
        <v>5-20</v>
      </c>
      <c r="Q131" s="129" t="str">
        <f>+"&gt;"&amp;AB131*100&amp;"-"&amp;AD131*100</f>
        <v>&gt;20-50</v>
      </c>
      <c r="R131" s="129" t="str">
        <f>+"&gt;"&amp;AD131*100&amp;"-"&amp;AF131*100</f>
        <v>&gt;50-80</v>
      </c>
      <c r="S131" s="129" t="str">
        <f>+"&gt;"&amp;AF131*100</f>
        <v>&gt;80</v>
      </c>
      <c r="T131" s="129"/>
      <c r="U131" s="129"/>
      <c r="V131" s="131" t="s">
        <v>67</v>
      </c>
      <c r="W131" s="45"/>
      <c r="X131" s="43"/>
      <c r="Y131" s="36"/>
      <c r="Z131" s="28">
        <v>0.05</v>
      </c>
      <c r="AA131" s="67">
        <v>0.5</v>
      </c>
      <c r="AB131" s="28">
        <v>0.2</v>
      </c>
      <c r="AC131" s="70">
        <v>1</v>
      </c>
      <c r="AD131" s="28">
        <v>0.5</v>
      </c>
      <c r="AE131" s="70">
        <v>1.5</v>
      </c>
      <c r="AF131" s="28">
        <v>0.8</v>
      </c>
      <c r="AG131" s="70">
        <v>2</v>
      </c>
      <c r="AH131" s="10"/>
      <c r="AI131" s="67"/>
      <c r="AJ131" s="10"/>
      <c r="AK131" s="67"/>
    </row>
    <row r="132" spans="1:37" s="45" customFormat="1" ht="16.5">
      <c r="A132" s="85" t="s">
        <v>173</v>
      </c>
      <c r="B132" s="109">
        <v>0</v>
      </c>
      <c r="C132" s="45" t="s">
        <v>175</v>
      </c>
      <c r="D132" s="26"/>
      <c r="E132" s="8"/>
      <c r="F132" s="8"/>
      <c r="G132" s="8"/>
      <c r="H132" s="8"/>
      <c r="L132" s="8"/>
      <c r="M132" s="42"/>
      <c r="N132" s="46"/>
      <c r="P132" s="136"/>
      <c r="Q132" s="129"/>
      <c r="R132" s="129"/>
      <c r="S132" s="129"/>
      <c r="T132" s="129"/>
      <c r="U132" s="129"/>
      <c r="V132" s="131"/>
      <c r="X132" s="43"/>
      <c r="Y132" s="47"/>
      <c r="Z132" s="28"/>
      <c r="AA132" s="67"/>
      <c r="AB132" s="28"/>
      <c r="AC132" s="70"/>
      <c r="AD132" s="28"/>
      <c r="AE132" s="70"/>
      <c r="AF132" s="48"/>
      <c r="AG132" s="70"/>
      <c r="AH132" s="48"/>
      <c r="AI132" s="70"/>
      <c r="AJ132" s="48"/>
      <c r="AK132" s="70"/>
    </row>
    <row r="133" spans="1:37" s="8" customFormat="1" ht="16.5">
      <c r="A133" s="81"/>
      <c r="B133" s="18" t="s">
        <v>2</v>
      </c>
      <c r="C133" s="26">
        <f>+IF(B132&gt;0,B132/offene_Ackerfläche,0)</f>
        <v>0</v>
      </c>
      <c r="D133" s="8" t="s">
        <v>70</v>
      </c>
      <c r="I133" s="45"/>
      <c r="J133" s="45"/>
      <c r="K133" s="45"/>
      <c r="M133" s="42">
        <f>+IF(C133&gt;AF133,AG133,IF(C133&gt;AD133,AE133,IF(C133&gt;AB133,AC133,IF(C133&gt;=Z133,AA133,0))))</f>
        <v>0</v>
      </c>
      <c r="N133" s="49"/>
      <c r="P133" s="136" t="str">
        <f>+Z133*100&amp;"-"&amp;AB133*100</f>
        <v>3.5-5</v>
      </c>
      <c r="Q133" s="129" t="str">
        <f>+"&gt;"&amp;AB133*100&amp;"-"&amp;AD133*100</f>
        <v>&gt;5-10</v>
      </c>
      <c r="R133" s="129" t="str">
        <f>+"&gt;"&amp;AD133*100&amp;"-"&amp;AF133*100</f>
        <v>&gt;10-20</v>
      </c>
      <c r="S133" s="129" t="str">
        <f>+"&gt;"&amp;AF133*100</f>
        <v>&gt;20</v>
      </c>
      <c r="T133" s="129"/>
      <c r="U133" s="129"/>
      <c r="V133" s="131" t="s">
        <v>67</v>
      </c>
      <c r="W133" s="45"/>
      <c r="X133" s="43"/>
      <c r="Y133" s="36"/>
      <c r="Z133" s="28">
        <v>0.035</v>
      </c>
      <c r="AA133" s="67">
        <v>0.5</v>
      </c>
      <c r="AB133" s="28">
        <v>0.05</v>
      </c>
      <c r="AC133" s="70">
        <v>1</v>
      </c>
      <c r="AD133" s="28">
        <v>0.1</v>
      </c>
      <c r="AE133" s="70">
        <v>1.5</v>
      </c>
      <c r="AF133" s="28">
        <v>0.2</v>
      </c>
      <c r="AG133" s="70">
        <v>2</v>
      </c>
      <c r="AH133" s="10"/>
      <c r="AI133" s="67"/>
      <c r="AJ133" s="10"/>
      <c r="AK133" s="67"/>
    </row>
    <row r="134" spans="1:37" s="29" customFormat="1" ht="6" customHeight="1">
      <c r="A134" s="81"/>
      <c r="D134" s="38"/>
      <c r="E134" s="38"/>
      <c r="F134" s="38"/>
      <c r="G134" s="38"/>
      <c r="H134" s="38"/>
      <c r="L134" s="38"/>
      <c r="M134" s="30"/>
      <c r="N134" s="30"/>
      <c r="P134" s="129"/>
      <c r="Q134" s="129"/>
      <c r="R134" s="129"/>
      <c r="S134" s="129"/>
      <c r="T134" s="129"/>
      <c r="U134" s="129"/>
      <c r="V134" s="130"/>
      <c r="W134" s="46"/>
      <c r="X134" s="11"/>
      <c r="Y134" s="11"/>
      <c r="Z134" s="2"/>
      <c r="AA134" s="4"/>
      <c r="AB134" s="2"/>
      <c r="AC134" s="4"/>
      <c r="AD134" s="2"/>
      <c r="AE134" s="4"/>
      <c r="AF134" s="2"/>
      <c r="AG134" s="4"/>
      <c r="AH134" s="2"/>
      <c r="AI134" s="4"/>
      <c r="AJ134" s="2"/>
      <c r="AK134" s="4"/>
    </row>
    <row r="135" spans="1:37" s="8" customFormat="1" ht="16.5">
      <c r="A135" s="80"/>
      <c r="B135" s="9" t="s">
        <v>165</v>
      </c>
      <c r="C135" s="18"/>
      <c r="D135" s="26"/>
      <c r="I135" s="45"/>
      <c r="J135" s="45"/>
      <c r="K135" s="45"/>
      <c r="M135" s="42">
        <f>SUM(M109:M134)</f>
        <v>0</v>
      </c>
      <c r="N135" s="49"/>
      <c r="P135" s="136"/>
      <c r="Q135" s="129"/>
      <c r="R135" s="129"/>
      <c r="S135" s="129"/>
      <c r="T135" s="129"/>
      <c r="U135" s="129"/>
      <c r="V135" s="141"/>
      <c r="W135" s="150"/>
      <c r="X135" s="43"/>
      <c r="Y135" s="36"/>
      <c r="Z135" s="28"/>
      <c r="AA135" s="67"/>
      <c r="AB135" s="28"/>
      <c r="AC135" s="70"/>
      <c r="AD135" s="28"/>
      <c r="AE135" s="70"/>
      <c r="AF135" s="28"/>
      <c r="AG135" s="70"/>
      <c r="AH135" s="10"/>
      <c r="AI135" s="67"/>
      <c r="AJ135" s="10"/>
      <c r="AK135" s="67"/>
    </row>
    <row r="136" spans="1:37" s="8" customFormat="1" ht="16.5">
      <c r="A136" s="80"/>
      <c r="B136" s="8" t="s">
        <v>83</v>
      </c>
      <c r="C136" s="18"/>
      <c r="F136" s="45"/>
      <c r="G136" s="26">
        <f>+offene_Ackerfläche/LN</f>
        <v>0</v>
      </c>
      <c r="H136" s="45"/>
      <c r="I136" s="45"/>
      <c r="J136" s="45"/>
      <c r="K136" s="45"/>
      <c r="L136" s="45"/>
      <c r="M136" s="42"/>
      <c r="N136" s="49"/>
      <c r="P136" s="129"/>
      <c r="Q136" s="129"/>
      <c r="R136" s="129"/>
      <c r="S136" s="129"/>
      <c r="T136" s="129"/>
      <c r="U136" s="129"/>
      <c r="V136" s="131"/>
      <c r="W136" s="45"/>
      <c r="X136" s="43"/>
      <c r="Y136" s="36"/>
      <c r="Z136" s="44"/>
      <c r="AA136" s="67"/>
      <c r="AB136" s="44"/>
      <c r="AC136" s="67"/>
      <c r="AD136" s="44"/>
      <c r="AE136" s="67"/>
      <c r="AF136" s="10"/>
      <c r="AG136" s="67"/>
      <c r="AH136" s="10"/>
      <c r="AI136" s="67"/>
      <c r="AJ136" s="10"/>
      <c r="AK136" s="67"/>
    </row>
    <row r="137" spans="1:37" s="29" customFormat="1" ht="6" customHeight="1">
      <c r="A137" s="81"/>
      <c r="D137" s="38"/>
      <c r="E137" s="38"/>
      <c r="F137" s="38"/>
      <c r="G137" s="38"/>
      <c r="H137" s="38"/>
      <c r="L137" s="38"/>
      <c r="M137" s="30"/>
      <c r="N137" s="30"/>
      <c r="P137" s="129"/>
      <c r="Q137" s="129"/>
      <c r="R137" s="129"/>
      <c r="S137" s="129"/>
      <c r="T137" s="129"/>
      <c r="U137" s="129"/>
      <c r="V137" s="130"/>
      <c r="W137" s="46"/>
      <c r="X137" s="11"/>
      <c r="Y137" s="11"/>
      <c r="Z137" s="2"/>
      <c r="AA137" s="4"/>
      <c r="AB137" s="2"/>
      <c r="AC137" s="4"/>
      <c r="AD137" s="2"/>
      <c r="AE137" s="4"/>
      <c r="AF137" s="2"/>
      <c r="AG137" s="4"/>
      <c r="AH137" s="2"/>
      <c r="AI137" s="4"/>
      <c r="AJ137" s="2"/>
      <c r="AK137" s="4"/>
    </row>
    <row r="138" spans="1:37" s="14" customFormat="1" ht="16.5">
      <c r="A138" s="13" t="s">
        <v>138</v>
      </c>
      <c r="C138" s="13"/>
      <c r="K138" s="124"/>
      <c r="N138" s="125" t="e">
        <f>+ROUND((#REF!/$B$13*20)*2,0)/2</f>
        <v>#REF!</v>
      </c>
      <c r="O138" s="127">
        <f>+M135*G136</f>
        <v>0</v>
      </c>
      <c r="P138" s="95"/>
      <c r="Q138" s="95"/>
      <c r="R138" s="95"/>
      <c r="S138" s="95"/>
      <c r="T138" s="95"/>
      <c r="U138" s="95"/>
      <c r="V138" s="126"/>
      <c r="W138" s="95"/>
      <c r="X138" s="11"/>
      <c r="Y138" s="11"/>
      <c r="Z138" s="2"/>
      <c r="AA138" s="4"/>
      <c r="AB138" s="2"/>
      <c r="AC138" s="4"/>
      <c r="AD138" s="2"/>
      <c r="AE138" s="4"/>
      <c r="AF138" s="2"/>
      <c r="AG138" s="4"/>
      <c r="AH138" s="2"/>
      <c r="AI138" s="4"/>
      <c r="AJ138" s="2"/>
      <c r="AK138" s="4"/>
    </row>
    <row r="139" spans="1:37" s="29" customFormat="1" ht="6" customHeight="1">
      <c r="A139" s="81"/>
      <c r="D139" s="38"/>
      <c r="E139" s="38"/>
      <c r="F139" s="38"/>
      <c r="G139" s="38"/>
      <c r="H139" s="38"/>
      <c r="L139" s="38"/>
      <c r="M139" s="30"/>
      <c r="N139" s="30"/>
      <c r="P139" s="129"/>
      <c r="Q139" s="129"/>
      <c r="R139" s="129"/>
      <c r="S139" s="129"/>
      <c r="T139" s="129"/>
      <c r="U139" s="129"/>
      <c r="V139" s="130"/>
      <c r="W139" s="46"/>
      <c r="X139" s="11"/>
      <c r="Y139" s="11"/>
      <c r="Z139" s="2"/>
      <c r="AA139" s="4"/>
      <c r="AB139" s="2"/>
      <c r="AC139" s="4"/>
      <c r="AD139" s="2"/>
      <c r="AE139" s="4"/>
      <c r="AF139" s="2"/>
      <c r="AG139" s="4"/>
      <c r="AH139" s="2"/>
      <c r="AI139" s="4"/>
      <c r="AJ139" s="2"/>
      <c r="AK139" s="4"/>
    </row>
    <row r="140" spans="1:37" s="14" customFormat="1" ht="15.75">
      <c r="A140" s="13" t="s">
        <v>126</v>
      </c>
      <c r="C140" s="13"/>
      <c r="K140" s="124"/>
      <c r="M140" s="125" t="s">
        <v>13</v>
      </c>
      <c r="N140" s="125" t="s">
        <v>5</v>
      </c>
      <c r="O140" s="125" t="s">
        <v>137</v>
      </c>
      <c r="P140" s="95" t="s">
        <v>20</v>
      </c>
      <c r="Q140" s="95" t="s">
        <v>14</v>
      </c>
      <c r="R140" s="95" t="s">
        <v>21</v>
      </c>
      <c r="S140" s="95" t="s">
        <v>15</v>
      </c>
      <c r="T140" s="95"/>
      <c r="U140" s="95"/>
      <c r="V140" s="95" t="s">
        <v>19</v>
      </c>
      <c r="W140" s="95"/>
      <c r="X140" s="11"/>
      <c r="Y140" s="11"/>
      <c r="Z140" s="2"/>
      <c r="AA140" s="4"/>
      <c r="AB140" s="2"/>
      <c r="AC140" s="4"/>
      <c r="AD140" s="2"/>
      <c r="AE140" s="4"/>
      <c r="AF140" s="2"/>
      <c r="AG140" s="4"/>
      <c r="AH140" s="2"/>
      <c r="AI140" s="4"/>
      <c r="AJ140" s="2"/>
      <c r="AK140" s="4"/>
    </row>
    <row r="141" spans="1:37" s="29" customFormat="1" ht="6" customHeight="1">
      <c r="A141" s="81"/>
      <c r="D141" s="38"/>
      <c r="E141" s="38"/>
      <c r="F141" s="38"/>
      <c r="G141" s="38"/>
      <c r="H141" s="38"/>
      <c r="L141" s="38"/>
      <c r="M141" s="30"/>
      <c r="N141" s="30"/>
      <c r="P141" s="129"/>
      <c r="Q141" s="129"/>
      <c r="R141" s="129"/>
      <c r="S141" s="129"/>
      <c r="T141" s="129"/>
      <c r="U141" s="129"/>
      <c r="V141" s="130"/>
      <c r="W141" s="46"/>
      <c r="X141" s="11"/>
      <c r="Y141" s="11"/>
      <c r="Z141" s="2"/>
      <c r="AA141" s="4"/>
      <c r="AB141" s="2"/>
      <c r="AC141" s="4"/>
      <c r="AD141" s="2"/>
      <c r="AE141" s="4"/>
      <c r="AF141" s="2"/>
      <c r="AG141" s="4"/>
      <c r="AH141" s="2"/>
      <c r="AI141" s="4"/>
      <c r="AJ141" s="2"/>
      <c r="AK141" s="4"/>
    </row>
    <row r="142" spans="1:37" s="8" customFormat="1" ht="16.5">
      <c r="A142" s="80">
        <v>11</v>
      </c>
      <c r="B142" s="9" t="s">
        <v>182</v>
      </c>
      <c r="D142" s="9"/>
      <c r="E142" s="9"/>
      <c r="F142" s="9"/>
      <c r="G142" s="9"/>
      <c r="H142" s="9"/>
      <c r="L142" s="9"/>
      <c r="M142" s="42"/>
      <c r="N142" s="49"/>
      <c r="P142" s="129"/>
      <c r="Q142" s="129"/>
      <c r="R142" s="129"/>
      <c r="S142" s="129"/>
      <c r="T142" s="129"/>
      <c r="U142" s="129"/>
      <c r="V142" s="131"/>
      <c r="W142" s="45"/>
      <c r="X142" s="43"/>
      <c r="Y142" s="36"/>
      <c r="Z142" s="44"/>
      <c r="AA142" s="67"/>
      <c r="AB142" s="44"/>
      <c r="AC142" s="67"/>
      <c r="AD142" s="44"/>
      <c r="AE142" s="67"/>
      <c r="AF142" s="10"/>
      <c r="AG142" s="67"/>
      <c r="AH142" s="10"/>
      <c r="AI142" s="67"/>
      <c r="AJ142" s="10"/>
      <c r="AK142" s="67"/>
    </row>
    <row r="143" spans="1:37" s="8" customFormat="1" ht="16.5">
      <c r="A143" s="80">
        <v>11.1</v>
      </c>
      <c r="B143" s="109">
        <v>0</v>
      </c>
      <c r="C143" s="8" t="s">
        <v>76</v>
      </c>
      <c r="M143" s="42"/>
      <c r="N143" s="49"/>
      <c r="P143" s="129"/>
      <c r="Q143" s="129"/>
      <c r="R143" s="129"/>
      <c r="S143" s="129"/>
      <c r="T143" s="129"/>
      <c r="U143" s="129"/>
      <c r="V143" s="131"/>
      <c r="W143" s="45"/>
      <c r="X143" s="43"/>
      <c r="Y143" s="36"/>
      <c r="Z143" s="44"/>
      <c r="AA143" s="67"/>
      <c r="AB143" s="44"/>
      <c r="AC143" s="67"/>
      <c r="AD143" s="44"/>
      <c r="AE143" s="67"/>
      <c r="AF143" s="10"/>
      <c r="AG143" s="67"/>
      <c r="AH143" s="10"/>
      <c r="AI143" s="67"/>
      <c r="AJ143" s="10"/>
      <c r="AK143" s="67"/>
    </row>
    <row r="144" spans="1:37" s="8" customFormat="1" ht="16.5">
      <c r="A144" s="80"/>
      <c r="B144" s="18" t="s">
        <v>2</v>
      </c>
      <c r="C144" s="26">
        <f>+IF(Dauergründland_plus_Streuefläche&gt;0,B143/Dauergründland_plus_Streuefläche,0)</f>
        <v>0</v>
      </c>
      <c r="D144" s="8" t="s">
        <v>66</v>
      </c>
      <c r="M144" s="42">
        <f>+IF(C144&gt;AF144,AG144,IF(C144&gt;AD144,AE144,IF(C144&gt;AB144,AC144,IF(C144&gt;=Z144,AA144,0))))</f>
        <v>0</v>
      </c>
      <c r="N144" s="21" t="e">
        <f>+B143*#REF!</f>
        <v>#REF!</v>
      </c>
      <c r="P144" s="136" t="str">
        <f>+Z144*100&amp;"-"&amp;AB144*100</f>
        <v>4-8</v>
      </c>
      <c r="Q144" s="129" t="str">
        <f>+"&gt;"&amp;AB144*100&amp;"-"&amp;AD144*100</f>
        <v>&gt;8-12</v>
      </c>
      <c r="R144" s="129" t="str">
        <f>+"&gt;"&amp;AD144*100&amp;"-"&amp;AF144*100</f>
        <v>&gt;12-16</v>
      </c>
      <c r="S144" s="129" t="str">
        <f>+"&gt;"&amp;AF144*100</f>
        <v>&gt;16</v>
      </c>
      <c r="T144" s="129"/>
      <c r="U144" s="129"/>
      <c r="V144" s="131" t="s">
        <v>67</v>
      </c>
      <c r="W144" s="45"/>
      <c r="X144" s="43"/>
      <c r="Y144" s="47"/>
      <c r="Z144" s="44">
        <v>0.04</v>
      </c>
      <c r="AA144" s="67">
        <v>0.5</v>
      </c>
      <c r="AB144" s="44">
        <v>0.08</v>
      </c>
      <c r="AC144" s="70">
        <v>1</v>
      </c>
      <c r="AD144" s="44">
        <v>0.12</v>
      </c>
      <c r="AE144" s="70">
        <v>1.5</v>
      </c>
      <c r="AF144" s="28">
        <v>0.16</v>
      </c>
      <c r="AG144" s="67">
        <v>2</v>
      </c>
      <c r="AH144" s="28"/>
      <c r="AI144" s="67"/>
      <c r="AJ144" s="28"/>
      <c r="AK144" s="67"/>
    </row>
    <row r="145" spans="1:37" s="8" customFormat="1" ht="16.5">
      <c r="A145" s="80">
        <v>11.2</v>
      </c>
      <c r="B145" s="109">
        <v>0</v>
      </c>
      <c r="C145" s="8" t="s">
        <v>184</v>
      </c>
      <c r="M145" s="42"/>
      <c r="N145" s="21"/>
      <c r="P145" s="136"/>
      <c r="Q145" s="129"/>
      <c r="R145" s="129"/>
      <c r="S145" s="129"/>
      <c r="T145" s="129"/>
      <c r="U145" s="129"/>
      <c r="V145" s="131"/>
      <c r="W145" s="45"/>
      <c r="X145" s="43"/>
      <c r="Y145" s="36"/>
      <c r="Z145" s="44"/>
      <c r="AA145" s="67"/>
      <c r="AB145" s="44"/>
      <c r="AC145" s="67"/>
      <c r="AD145" s="44"/>
      <c r="AE145" s="67"/>
      <c r="AF145" s="28"/>
      <c r="AG145" s="67"/>
      <c r="AH145" s="10"/>
      <c r="AI145" s="67"/>
      <c r="AJ145" s="10"/>
      <c r="AK145" s="67"/>
    </row>
    <row r="146" spans="1:37" s="8" customFormat="1" ht="16.5">
      <c r="A146" s="80"/>
      <c r="B146" s="18" t="s">
        <v>2</v>
      </c>
      <c r="C146" s="26">
        <f>+IF(Dauergründland_plus_Streuefläche&gt;0,B145/Dauergründland_plus_Streuefläche,0)</f>
        <v>0</v>
      </c>
      <c r="D146" s="8" t="s">
        <v>66</v>
      </c>
      <c r="M146" s="42">
        <f>+IF(C146&gt;AF146,AG146,IF(C146&gt;AD146,AE146,IF(C146&gt;AB146,AC146,IF(C146&gt;=Z146,AA146,0))))</f>
        <v>0</v>
      </c>
      <c r="N146" s="21" t="e">
        <f>+B145*#REF!</f>
        <v>#REF!</v>
      </c>
      <c r="P146" s="136" t="str">
        <f>+Z146*100&amp;"-"&amp;AB146*100</f>
        <v>6-9</v>
      </c>
      <c r="Q146" s="129" t="str">
        <f>+"&gt;"&amp;AB146*100&amp;"-"&amp;AD146*100</f>
        <v>&gt;9-12</v>
      </c>
      <c r="R146" s="129" t="str">
        <f>+"&gt;"&amp;AD146*100&amp;"-"&amp;AF146*100</f>
        <v>&gt;12-15</v>
      </c>
      <c r="S146" s="129" t="str">
        <f>+"&gt;"&amp;AF146*100</f>
        <v>&gt;15</v>
      </c>
      <c r="T146" s="129"/>
      <c r="U146" s="129"/>
      <c r="V146" s="131" t="s">
        <v>67</v>
      </c>
      <c r="W146" s="45"/>
      <c r="X146" s="43"/>
      <c r="Y146" s="47"/>
      <c r="Z146" s="44">
        <v>0.06</v>
      </c>
      <c r="AA146" s="67">
        <v>0.5</v>
      </c>
      <c r="AB146" s="44">
        <v>0.09</v>
      </c>
      <c r="AC146" s="70">
        <v>1</v>
      </c>
      <c r="AD146" s="44">
        <v>0.12</v>
      </c>
      <c r="AE146" s="70">
        <v>1.5</v>
      </c>
      <c r="AF146" s="28">
        <v>0.15</v>
      </c>
      <c r="AG146" s="67">
        <v>2</v>
      </c>
      <c r="AH146" s="28"/>
      <c r="AI146" s="67"/>
      <c r="AJ146" s="10"/>
      <c r="AK146" s="67"/>
    </row>
    <row r="147" spans="1:37" s="8" customFormat="1" ht="16.5">
      <c r="A147" s="80">
        <v>11.3</v>
      </c>
      <c r="B147" s="109">
        <v>0</v>
      </c>
      <c r="C147" s="84" t="s">
        <v>183</v>
      </c>
      <c r="E147" s="45"/>
      <c r="F147" s="45"/>
      <c r="G147" s="45"/>
      <c r="H147" s="45"/>
      <c r="I147" s="45"/>
      <c r="J147" s="45"/>
      <c r="K147" s="45"/>
      <c r="L147" s="45"/>
      <c r="M147" s="42"/>
      <c r="N147" s="21"/>
      <c r="P147" s="136"/>
      <c r="Q147" s="129"/>
      <c r="R147" s="129"/>
      <c r="S147" s="129"/>
      <c r="T147" s="129"/>
      <c r="U147" s="129"/>
      <c r="V147" s="131"/>
      <c r="W147" s="45"/>
      <c r="X147" s="43"/>
      <c r="Y147" s="36"/>
      <c r="Z147" s="44"/>
      <c r="AA147" s="67"/>
      <c r="AB147" s="44"/>
      <c r="AC147" s="67"/>
      <c r="AD147" s="44"/>
      <c r="AE147" s="67"/>
      <c r="AF147" s="28"/>
      <c r="AG147" s="67"/>
      <c r="AH147" s="10"/>
      <c r="AI147" s="67"/>
      <c r="AJ147" s="10"/>
      <c r="AK147" s="67"/>
    </row>
    <row r="148" spans="1:37" s="8" customFormat="1" ht="16.5">
      <c r="A148" s="80"/>
      <c r="B148" s="18" t="s">
        <v>2</v>
      </c>
      <c r="C148" s="26">
        <f>+IF(Dauergründland_plus_Streuefläche&gt;0,B147/Dauergründland_plus_Streuefläche,0)</f>
        <v>0</v>
      </c>
      <c r="D148" s="8" t="s">
        <v>66</v>
      </c>
      <c r="I148" s="45"/>
      <c r="J148" s="45"/>
      <c r="K148" s="45"/>
      <c r="M148" s="42">
        <f>+IF(C148&gt;AF148,AG148,IF(C148&gt;AD148,AE148,IF(C148&gt;AB148,AC148,IF(C148&gt;=Z148,AA148,0))))</f>
        <v>0</v>
      </c>
      <c r="N148" s="21" t="e">
        <f>+B147*#REF!</f>
        <v>#REF!</v>
      </c>
      <c r="P148" s="136" t="str">
        <f>+Z148*100&amp;"-"&amp;AB148*100</f>
        <v>2-3</v>
      </c>
      <c r="Q148" s="129" t="str">
        <f>+"&gt;"&amp;AB148*100&amp;"-"&amp;AD148*100</f>
        <v>&gt;3-4</v>
      </c>
      <c r="R148" s="129" t="str">
        <f>+"&gt;"&amp;AD148*100&amp;"-"&amp;AF148*100</f>
        <v>&gt;4-5</v>
      </c>
      <c r="S148" s="129" t="str">
        <f>+"&gt;"&amp;AF148*100</f>
        <v>&gt;5</v>
      </c>
      <c r="T148" s="129"/>
      <c r="U148" s="129"/>
      <c r="V148" s="131" t="s">
        <v>67</v>
      </c>
      <c r="W148" s="45"/>
      <c r="X148" s="43"/>
      <c r="Y148" s="47"/>
      <c r="Z148" s="44">
        <v>0.02</v>
      </c>
      <c r="AA148" s="67">
        <v>0.5</v>
      </c>
      <c r="AB148" s="44">
        <v>0.03</v>
      </c>
      <c r="AC148" s="70">
        <v>1</v>
      </c>
      <c r="AD148" s="44">
        <v>0.04</v>
      </c>
      <c r="AE148" s="70">
        <v>1.5</v>
      </c>
      <c r="AF148" s="28">
        <v>0.05</v>
      </c>
      <c r="AG148" s="67">
        <v>2</v>
      </c>
      <c r="AH148" s="28"/>
      <c r="AI148" s="67"/>
      <c r="AJ148" s="28"/>
      <c r="AK148" s="67"/>
    </row>
    <row r="149" spans="1:37" s="8" customFormat="1" ht="16.5">
      <c r="A149" s="80">
        <v>11.4</v>
      </c>
      <c r="B149" s="50">
        <v>0</v>
      </c>
      <c r="C149" s="84" t="s">
        <v>65</v>
      </c>
      <c r="E149" s="45"/>
      <c r="F149" s="45"/>
      <c r="G149" s="45"/>
      <c r="H149" s="45"/>
      <c r="I149" s="45"/>
      <c r="J149" s="45"/>
      <c r="K149" s="45"/>
      <c r="L149" s="45"/>
      <c r="M149" s="42"/>
      <c r="N149" s="21"/>
      <c r="P149" s="136"/>
      <c r="Q149" s="129"/>
      <c r="R149" s="129"/>
      <c r="S149" s="129"/>
      <c r="T149" s="129"/>
      <c r="U149" s="129"/>
      <c r="V149" s="131"/>
      <c r="W149" s="45"/>
      <c r="X149" s="43"/>
      <c r="Y149" s="36"/>
      <c r="Z149" s="44"/>
      <c r="AA149" s="67"/>
      <c r="AB149" s="44"/>
      <c r="AC149" s="67"/>
      <c r="AD149" s="44"/>
      <c r="AE149" s="67"/>
      <c r="AF149" s="28"/>
      <c r="AG149" s="67"/>
      <c r="AH149" s="10"/>
      <c r="AI149" s="67"/>
      <c r="AJ149" s="10"/>
      <c r="AK149" s="67"/>
    </row>
    <row r="150" spans="1:37" s="8" customFormat="1" ht="16.5">
      <c r="A150" s="80"/>
      <c r="B150" s="18" t="s">
        <v>2</v>
      </c>
      <c r="C150" s="88">
        <f>+IF(+E51+Extensivweide&gt;0,B149/(E51+Extensivweide),0)</f>
        <v>0</v>
      </c>
      <c r="D150" s="8" t="s">
        <v>24</v>
      </c>
      <c r="I150" s="45"/>
      <c r="J150" s="45"/>
      <c r="K150" s="45"/>
      <c r="M150" s="42">
        <f>IF(C150&gt;AF150,AG150,IF(C150&gt;AD150,AE150,IF(C150&gt;AB150,AC150,IF(C150&gt;=Z150,AA150,0))))</f>
        <v>0</v>
      </c>
      <c r="N150" s="21" t="e">
        <f>+B149/100*#REF!</f>
        <v>#REF!</v>
      </c>
      <c r="P150" s="136" t="str">
        <f>+Z150&amp;"-"&amp;AB150</f>
        <v>50-100</v>
      </c>
      <c r="Q150" s="129" t="str">
        <f>+"&gt;"&amp;AB150&amp;"-"&amp;AD150</f>
        <v>&gt;100-150</v>
      </c>
      <c r="R150" s="129" t="str">
        <f>+"&gt;"&amp;AD150&amp;"-"&amp;AF150</f>
        <v>&gt;150-200</v>
      </c>
      <c r="S150" s="129" t="str">
        <f>+"&gt;"&amp;AF150</f>
        <v>&gt;200</v>
      </c>
      <c r="T150" s="129"/>
      <c r="U150" s="129"/>
      <c r="V150" s="131" t="s">
        <v>71</v>
      </c>
      <c r="W150" s="45"/>
      <c r="X150" s="43"/>
      <c r="Y150" s="36"/>
      <c r="Z150" s="23">
        <v>50</v>
      </c>
      <c r="AA150" s="69">
        <v>0.5</v>
      </c>
      <c r="AB150" s="23">
        <v>100</v>
      </c>
      <c r="AC150" s="69">
        <v>1</v>
      </c>
      <c r="AD150" s="23">
        <v>150</v>
      </c>
      <c r="AE150" s="71">
        <v>1.5</v>
      </c>
      <c r="AF150" s="23">
        <v>200</v>
      </c>
      <c r="AG150" s="69">
        <v>2</v>
      </c>
      <c r="AH150" s="23"/>
      <c r="AI150" s="69"/>
      <c r="AJ150" s="23"/>
      <c r="AK150" s="69"/>
    </row>
    <row r="151" spans="1:37" s="8" customFormat="1" ht="16.5">
      <c r="A151" s="80">
        <v>11.5</v>
      </c>
      <c r="B151" s="109">
        <v>0</v>
      </c>
      <c r="C151" s="45" t="s">
        <v>185</v>
      </c>
      <c r="D151" s="45"/>
      <c r="E151" s="45"/>
      <c r="F151" s="45"/>
      <c r="G151" s="45"/>
      <c r="H151" s="45"/>
      <c r="I151" s="45"/>
      <c r="J151" s="45"/>
      <c r="K151" s="45"/>
      <c r="L151" s="45"/>
      <c r="M151" s="42"/>
      <c r="N151" s="21"/>
      <c r="P151" s="129"/>
      <c r="Q151" s="129"/>
      <c r="R151" s="129"/>
      <c r="S151" s="129"/>
      <c r="T151" s="129"/>
      <c r="U151" s="129"/>
      <c r="V151" s="131"/>
      <c r="W151" s="45"/>
      <c r="X151" s="43"/>
      <c r="Y151" s="36"/>
      <c r="Z151" s="44"/>
      <c r="AA151" s="67"/>
      <c r="AB151" s="44"/>
      <c r="AC151" s="67"/>
      <c r="AD151" s="44"/>
      <c r="AE151" s="67"/>
      <c r="AF151" s="28"/>
      <c r="AG151" s="67"/>
      <c r="AH151" s="10"/>
      <c r="AI151" s="67"/>
      <c r="AJ151" s="10"/>
      <c r="AK151" s="67"/>
    </row>
    <row r="152" spans="1:37" s="8" customFormat="1" ht="16.5">
      <c r="A152" s="80"/>
      <c r="B152" s="18" t="s">
        <v>2</v>
      </c>
      <c r="C152" s="26">
        <f>+IF(Dauergründland_plus_Streuefläche&gt;0,B151/Dauergründland_plus_Streuefläche,0)</f>
        <v>0</v>
      </c>
      <c r="D152" s="8" t="s">
        <v>66</v>
      </c>
      <c r="I152" s="45"/>
      <c r="J152" s="45"/>
      <c r="K152" s="45"/>
      <c r="M152" s="42">
        <f>+IF(C152&gt;AF152,AG152,IF(C152&gt;AD152,AE152,IF(C152&gt;AB152,AC152,IF(C152&gt;=Z152,AA152,0))))</f>
        <v>0</v>
      </c>
      <c r="N152" s="21" t="e">
        <f>+B151*#REF!</f>
        <v>#REF!</v>
      </c>
      <c r="P152" s="136" t="str">
        <f>+Z152*100&amp;"-"&amp;AB152*100</f>
        <v>1-2</v>
      </c>
      <c r="Q152" s="129" t="str">
        <f>+"&gt;"&amp;AB152*100&amp;"-"&amp;AD152*100</f>
        <v>&gt;2-3</v>
      </c>
      <c r="R152" s="129" t="str">
        <f>+"&gt;"&amp;AD152*100&amp;"-"&amp;AF152*100</f>
        <v>&gt;3-4</v>
      </c>
      <c r="S152" s="129" t="str">
        <f>+"&gt;"&amp;AF152*100</f>
        <v>&gt;4</v>
      </c>
      <c r="T152" s="129"/>
      <c r="U152" s="129"/>
      <c r="V152" s="131" t="s">
        <v>67</v>
      </c>
      <c r="W152" s="45"/>
      <c r="X152" s="43"/>
      <c r="Y152" s="47"/>
      <c r="Z152" s="44">
        <v>0.01</v>
      </c>
      <c r="AA152" s="67">
        <v>0.5</v>
      </c>
      <c r="AB152" s="44">
        <v>0.02</v>
      </c>
      <c r="AC152" s="70">
        <v>1</v>
      </c>
      <c r="AD152" s="44">
        <v>0.03</v>
      </c>
      <c r="AE152" s="70">
        <v>1.5</v>
      </c>
      <c r="AF152" s="28">
        <v>0.04</v>
      </c>
      <c r="AG152" s="67">
        <v>2</v>
      </c>
      <c r="AH152" s="10"/>
      <c r="AI152" s="67"/>
      <c r="AJ152" s="10"/>
      <c r="AK152" s="67"/>
    </row>
    <row r="153" spans="1:37" s="29" customFormat="1" ht="6" customHeight="1">
      <c r="A153" s="81"/>
      <c r="D153" s="38"/>
      <c r="E153" s="38"/>
      <c r="F153" s="38"/>
      <c r="G153" s="38"/>
      <c r="H153" s="38"/>
      <c r="L153" s="38"/>
      <c r="M153" s="30"/>
      <c r="N153" s="30"/>
      <c r="P153" s="129"/>
      <c r="Q153" s="129"/>
      <c r="R153" s="129"/>
      <c r="S153" s="129"/>
      <c r="T153" s="129"/>
      <c r="U153" s="129"/>
      <c r="V153" s="130"/>
      <c r="W153" s="46"/>
      <c r="X153" s="11"/>
      <c r="Y153" s="11"/>
      <c r="Z153" s="2"/>
      <c r="AA153" s="4"/>
      <c r="AB153" s="2"/>
      <c r="AC153" s="4"/>
      <c r="AD153" s="2"/>
      <c r="AE153" s="4"/>
      <c r="AF153" s="2"/>
      <c r="AG153" s="4"/>
      <c r="AH153" s="2"/>
      <c r="AI153" s="4"/>
      <c r="AJ153" s="2"/>
      <c r="AK153" s="4"/>
    </row>
    <row r="154" spans="1:37" s="8" customFormat="1" ht="16.5">
      <c r="A154" s="80">
        <v>12</v>
      </c>
      <c r="B154" s="51" t="s">
        <v>114</v>
      </c>
      <c r="E154" s="51"/>
      <c r="F154" s="51"/>
      <c r="G154" s="51"/>
      <c r="H154" s="51"/>
      <c r="I154" s="45"/>
      <c r="J154" s="45"/>
      <c r="K154" s="45"/>
      <c r="L154" s="51"/>
      <c r="M154" s="42"/>
      <c r="N154" s="52"/>
      <c r="P154" s="129"/>
      <c r="Q154" s="129"/>
      <c r="R154" s="129"/>
      <c r="S154" s="129"/>
      <c r="T154" s="129"/>
      <c r="U154" s="129"/>
      <c r="V154" s="131"/>
      <c r="W154" s="45"/>
      <c r="X154" s="43"/>
      <c r="Y154" s="36"/>
      <c r="Z154" s="44"/>
      <c r="AA154" s="67"/>
      <c r="AB154" s="44"/>
      <c r="AC154" s="67"/>
      <c r="AD154" s="44"/>
      <c r="AE154" s="67"/>
      <c r="AF154" s="28"/>
      <c r="AG154" s="67"/>
      <c r="AH154" s="10"/>
      <c r="AI154" s="67"/>
      <c r="AJ154" s="10"/>
      <c r="AK154" s="67"/>
    </row>
    <row r="155" spans="1:37" s="8" customFormat="1" ht="16.5">
      <c r="A155" s="81">
        <v>12.1</v>
      </c>
      <c r="B155" s="111">
        <f>+Dauergrünland+B16-G72</f>
        <v>0</v>
      </c>
      <c r="C155" s="73" t="s">
        <v>198</v>
      </c>
      <c r="E155" s="51"/>
      <c r="F155" s="51"/>
      <c r="G155" s="51"/>
      <c r="H155" s="51"/>
      <c r="I155" s="45"/>
      <c r="J155" s="45"/>
      <c r="K155" s="45"/>
      <c r="L155" s="51"/>
      <c r="M155" s="42"/>
      <c r="N155" s="52"/>
      <c r="P155" s="129"/>
      <c r="Q155" s="129"/>
      <c r="R155" s="129"/>
      <c r="S155" s="129"/>
      <c r="T155" s="129"/>
      <c r="U155" s="129"/>
      <c r="V155" s="131"/>
      <c r="W155" s="45"/>
      <c r="X155" s="43"/>
      <c r="Y155" s="36"/>
      <c r="Z155" s="44"/>
      <c r="AA155" s="67"/>
      <c r="AB155" s="44"/>
      <c r="AC155" s="67"/>
      <c r="AD155" s="44"/>
      <c r="AE155" s="67"/>
      <c r="AF155" s="28"/>
      <c r="AG155" s="67"/>
      <c r="AH155" s="10"/>
      <c r="AI155" s="67"/>
      <c r="AJ155" s="10"/>
      <c r="AK155" s="67"/>
    </row>
    <row r="156" spans="1:37" s="8" customFormat="1" ht="16.5">
      <c r="A156" s="82" t="s">
        <v>72</v>
      </c>
      <c r="B156" s="109">
        <v>0</v>
      </c>
      <c r="C156" s="45" t="s">
        <v>78</v>
      </c>
      <c r="E156" s="51"/>
      <c r="F156" s="51"/>
      <c r="G156" s="51"/>
      <c r="H156" s="51"/>
      <c r="I156" s="45"/>
      <c r="J156" s="45"/>
      <c r="K156" s="45"/>
      <c r="L156" s="51"/>
      <c r="M156" s="42"/>
      <c r="N156" s="52"/>
      <c r="P156" s="129"/>
      <c r="Q156" s="129"/>
      <c r="R156" s="129"/>
      <c r="S156" s="129"/>
      <c r="T156" s="129"/>
      <c r="U156" s="129"/>
      <c r="V156" s="131"/>
      <c r="W156" s="45"/>
      <c r="X156" s="43"/>
      <c r="Y156" s="36"/>
      <c r="Z156" s="44"/>
      <c r="AA156" s="67"/>
      <c r="AB156" s="44"/>
      <c r="AC156" s="67"/>
      <c r="AD156" s="44"/>
      <c r="AE156" s="67"/>
      <c r="AF156" s="28"/>
      <c r="AG156" s="67"/>
      <c r="AH156" s="10"/>
      <c r="AI156" s="67"/>
      <c r="AJ156" s="10"/>
      <c r="AK156" s="67"/>
    </row>
    <row r="157" spans="1:37" s="8" customFormat="1" ht="16.5">
      <c r="A157" s="80"/>
      <c r="B157" s="18" t="s">
        <v>2</v>
      </c>
      <c r="C157" s="26">
        <f>+IF(B155&gt;0,B156/B155,0)</f>
        <v>0</v>
      </c>
      <c r="D157" s="45" t="s">
        <v>74</v>
      </c>
      <c r="F157" s="45"/>
      <c r="G157" s="45"/>
      <c r="H157" s="45"/>
      <c r="I157" s="45"/>
      <c r="J157" s="45"/>
      <c r="K157" s="45"/>
      <c r="L157" s="45"/>
      <c r="M157" s="42">
        <f>++IF(C157&gt;AF157,AG157,IF(C157&gt;AD157,AE157,IF(C157&gt;AB157,AC157,IF(C157&gt;=Z157,AA157,))))</f>
        <v>0</v>
      </c>
      <c r="N157" s="21" t="e">
        <f>+#REF!*#REF!</f>
        <v>#REF!</v>
      </c>
      <c r="P157" s="136" t="str">
        <f>+Z157*100&amp;"-"&amp;AB157*100</f>
        <v>30-40</v>
      </c>
      <c r="Q157" s="129" t="str">
        <f>+"&gt;"&amp;AB157*100&amp;"-"&amp;AD157*100</f>
        <v>&gt;40-50</v>
      </c>
      <c r="R157" s="129" t="str">
        <f>+"&gt;"&amp;AD157*100&amp;"-"&amp;AF157*100</f>
        <v>&gt;50-60</v>
      </c>
      <c r="S157" s="129" t="str">
        <f>+"&gt;"&amp;AF157*100</f>
        <v>&gt;60</v>
      </c>
      <c r="T157" s="129"/>
      <c r="U157" s="129"/>
      <c r="V157" s="131" t="s">
        <v>67</v>
      </c>
      <c r="W157" s="45"/>
      <c r="X157" s="43"/>
      <c r="Y157" s="36"/>
      <c r="Z157" s="44">
        <v>0.3</v>
      </c>
      <c r="AA157" s="67">
        <v>0.5</v>
      </c>
      <c r="AB157" s="44">
        <v>0.4</v>
      </c>
      <c r="AC157" s="67">
        <v>1</v>
      </c>
      <c r="AD157" s="44">
        <v>0.5</v>
      </c>
      <c r="AE157" s="67">
        <v>1.5</v>
      </c>
      <c r="AF157" s="44">
        <v>0.6</v>
      </c>
      <c r="AG157" s="67">
        <v>2</v>
      </c>
      <c r="AH157" s="10"/>
      <c r="AI157" s="67"/>
      <c r="AJ157" s="10"/>
      <c r="AK157" s="67"/>
    </row>
    <row r="158" spans="1:37" s="8" customFormat="1" ht="16.5">
      <c r="A158" s="82" t="s">
        <v>73</v>
      </c>
      <c r="B158" s="109">
        <v>0</v>
      </c>
      <c r="C158" s="8" t="s">
        <v>76</v>
      </c>
      <c r="D158" s="26"/>
      <c r="E158" s="45"/>
      <c r="F158" s="45"/>
      <c r="G158" s="45"/>
      <c r="H158" s="45"/>
      <c r="I158" s="45"/>
      <c r="J158" s="45"/>
      <c r="K158" s="45"/>
      <c r="L158" s="45"/>
      <c r="M158" s="42"/>
      <c r="N158" s="21"/>
      <c r="P158" s="136"/>
      <c r="Q158" s="129"/>
      <c r="R158" s="129"/>
      <c r="S158" s="129"/>
      <c r="T158" s="129"/>
      <c r="U158" s="129"/>
      <c r="V158" s="131"/>
      <c r="W158" s="45"/>
      <c r="X158" s="43"/>
      <c r="Y158" s="36"/>
      <c r="Z158" s="44"/>
      <c r="AA158" s="67"/>
      <c r="AB158" s="44"/>
      <c r="AC158" s="67"/>
      <c r="AD158" s="44"/>
      <c r="AE158" s="67"/>
      <c r="AF158" s="44"/>
      <c r="AG158" s="67"/>
      <c r="AH158" s="10"/>
      <c r="AI158" s="67"/>
      <c r="AJ158" s="10"/>
      <c r="AK158" s="67"/>
    </row>
    <row r="159" spans="1:37" s="8" customFormat="1" ht="16.5">
      <c r="A159" s="80"/>
      <c r="B159" s="18" t="s">
        <v>2</v>
      </c>
      <c r="C159" s="26">
        <f>+IF(B155&gt;0,B158/B155,0)</f>
        <v>0</v>
      </c>
      <c r="D159" s="45" t="s">
        <v>74</v>
      </c>
      <c r="I159" s="45"/>
      <c r="J159" s="45"/>
      <c r="K159" s="45"/>
      <c r="M159" s="42">
        <f>++IF(C159&gt;AF159,AG159,IF(C159&gt;AD159,AE159,IF(C159&gt;AB159,AC159,IF(C159&gt;=Z159,AA159,))))</f>
        <v>0</v>
      </c>
      <c r="N159" s="21" t="e">
        <f>+B158*#REF!</f>
        <v>#REF!</v>
      </c>
      <c r="P159" s="136" t="str">
        <f>+Z159*100&amp;"-"&amp;AB159*100</f>
        <v>30-40</v>
      </c>
      <c r="Q159" s="129" t="str">
        <f>+"&gt;"&amp;AB159*100&amp;"-"&amp;AD159*100</f>
        <v>&gt;40-50</v>
      </c>
      <c r="R159" s="129" t="str">
        <f>+"&gt;"&amp;AD159*100&amp;"-"&amp;AF159*100</f>
        <v>&gt;50-60</v>
      </c>
      <c r="S159" s="129" t="str">
        <f>+"&gt;"&amp;AF159*100</f>
        <v>&gt;60</v>
      </c>
      <c r="T159" s="129"/>
      <c r="U159" s="129"/>
      <c r="V159" s="131" t="s">
        <v>67</v>
      </c>
      <c r="W159" s="45"/>
      <c r="X159" s="43"/>
      <c r="Y159" s="36"/>
      <c r="Z159" s="44">
        <v>0.3</v>
      </c>
      <c r="AA159" s="67">
        <v>0.5</v>
      </c>
      <c r="AB159" s="44">
        <v>0.4</v>
      </c>
      <c r="AC159" s="67">
        <v>1</v>
      </c>
      <c r="AD159" s="44">
        <v>0.5</v>
      </c>
      <c r="AE159" s="67">
        <v>1.5</v>
      </c>
      <c r="AF159" s="44">
        <v>0.6</v>
      </c>
      <c r="AG159" s="67">
        <v>2</v>
      </c>
      <c r="AH159" s="10"/>
      <c r="AI159" s="67"/>
      <c r="AJ159" s="10"/>
      <c r="AK159" s="67"/>
    </row>
    <row r="160" spans="1:37" s="8" customFormat="1" ht="16.5">
      <c r="A160" s="80">
        <v>12.2</v>
      </c>
      <c r="B160" s="109">
        <v>0</v>
      </c>
      <c r="C160" s="8" t="s">
        <v>75</v>
      </c>
      <c r="I160" s="45"/>
      <c r="J160" s="45"/>
      <c r="K160" s="45"/>
      <c r="M160" s="42"/>
      <c r="N160" s="21"/>
      <c r="P160" s="136"/>
      <c r="Q160" s="129"/>
      <c r="R160" s="129"/>
      <c r="S160" s="129"/>
      <c r="T160" s="129"/>
      <c r="U160" s="129"/>
      <c r="V160" s="131"/>
      <c r="W160" s="45"/>
      <c r="X160" s="43"/>
      <c r="Y160" s="36"/>
      <c r="Z160" s="44"/>
      <c r="AA160" s="67"/>
      <c r="AB160" s="44"/>
      <c r="AC160" s="67"/>
      <c r="AD160" s="44"/>
      <c r="AE160" s="67"/>
      <c r="AF160" s="44"/>
      <c r="AG160" s="67"/>
      <c r="AH160" s="10"/>
      <c r="AI160" s="67"/>
      <c r="AJ160" s="10"/>
      <c r="AK160" s="67"/>
    </row>
    <row r="161" spans="1:37" s="8" customFormat="1" ht="16.5">
      <c r="A161" s="83" t="s">
        <v>79</v>
      </c>
      <c r="B161" s="50">
        <v>0</v>
      </c>
      <c r="C161" s="45" t="s">
        <v>85</v>
      </c>
      <c r="E161" s="45"/>
      <c r="F161" s="45"/>
      <c r="G161" s="45"/>
      <c r="H161" s="45"/>
      <c r="I161" s="45"/>
      <c r="J161" s="45"/>
      <c r="K161" s="45"/>
      <c r="L161" s="45"/>
      <c r="M161" s="42"/>
      <c r="N161" s="21"/>
      <c r="P161" s="136"/>
      <c r="Q161" s="129"/>
      <c r="R161" s="129"/>
      <c r="S161" s="129"/>
      <c r="T161" s="129"/>
      <c r="U161" s="129"/>
      <c r="V161" s="131"/>
      <c r="W161" s="45"/>
      <c r="X161" s="43"/>
      <c r="Y161" s="36"/>
      <c r="Z161" s="44"/>
      <c r="AA161" s="67"/>
      <c r="AB161" s="44"/>
      <c r="AC161" s="67"/>
      <c r="AD161" s="44"/>
      <c r="AE161" s="67"/>
      <c r="AF161" s="28"/>
      <c r="AG161" s="67"/>
      <c r="AH161" s="10"/>
      <c r="AI161" s="67"/>
      <c r="AJ161" s="10"/>
      <c r="AK161" s="67"/>
    </row>
    <row r="162" spans="1:37" s="8" customFormat="1" ht="16.5">
      <c r="A162" s="80"/>
      <c r="B162" s="18" t="s">
        <v>2</v>
      </c>
      <c r="C162" s="34">
        <f>+IF(B160&gt;0,B161/B160,0)</f>
        <v>0</v>
      </c>
      <c r="D162" s="8" t="s">
        <v>26</v>
      </c>
      <c r="I162" s="45"/>
      <c r="J162" s="45"/>
      <c r="K162" s="45"/>
      <c r="M162" s="42">
        <f>+IF(C162&gt;AF162,AG162,IF(C162&gt;AD162,AE162,IF(C162&gt;AB162,AC162,IF(C162&gt;=Z162,AA162,))))</f>
        <v>0</v>
      </c>
      <c r="N162" s="21" t="e">
        <f>+B161/100*#REF!</f>
        <v>#REF!</v>
      </c>
      <c r="P162" s="136" t="str">
        <f>+Z162&amp;"-"&amp;AB162</f>
        <v>50-100</v>
      </c>
      <c r="Q162" s="129" t="str">
        <f>+"&gt;"&amp;AB162&amp;"-"&amp;AD162</f>
        <v>&gt;100-150</v>
      </c>
      <c r="R162" s="129" t="str">
        <f>+"&gt;"&amp;AD162&amp;"-"&amp;AF162</f>
        <v>&gt;150-200</v>
      </c>
      <c r="S162" s="129" t="str">
        <f>+"&gt;"&amp;AF162</f>
        <v>&gt;200</v>
      </c>
      <c r="T162" s="129"/>
      <c r="U162" s="129"/>
      <c r="V162" s="131" t="s">
        <v>71</v>
      </c>
      <c r="W162" s="45"/>
      <c r="X162" s="43"/>
      <c r="Y162" s="36"/>
      <c r="Z162" s="23">
        <v>50</v>
      </c>
      <c r="AA162" s="69">
        <v>0.5</v>
      </c>
      <c r="AB162" s="23">
        <v>100</v>
      </c>
      <c r="AC162" s="69">
        <v>1</v>
      </c>
      <c r="AD162" s="23">
        <v>150</v>
      </c>
      <c r="AE162" s="71">
        <v>1.5</v>
      </c>
      <c r="AF162" s="23">
        <v>200</v>
      </c>
      <c r="AG162" s="69">
        <v>2</v>
      </c>
      <c r="AH162" s="23"/>
      <c r="AI162" s="69"/>
      <c r="AJ162" s="23"/>
      <c r="AK162" s="69"/>
    </row>
    <row r="163" spans="1:37" s="8" customFormat="1" ht="16.5" hidden="1">
      <c r="A163" s="80">
        <v>12.3</v>
      </c>
      <c r="B163" s="31">
        <v>0</v>
      </c>
      <c r="C163" s="45" t="s">
        <v>80</v>
      </c>
      <c r="E163" s="45"/>
      <c r="F163" s="45"/>
      <c r="G163" s="45"/>
      <c r="H163" s="45"/>
      <c r="I163" s="45"/>
      <c r="J163" s="45"/>
      <c r="K163" s="45"/>
      <c r="L163" s="45"/>
      <c r="M163" s="20"/>
      <c r="N163" s="20"/>
      <c r="P163" s="129"/>
      <c r="Q163" s="136"/>
      <c r="R163" s="129"/>
      <c r="S163" s="129"/>
      <c r="T163" s="129"/>
      <c r="U163" s="129"/>
      <c r="V163" s="131"/>
      <c r="W163" s="45"/>
      <c r="X163" s="77"/>
      <c r="Y163" s="22"/>
      <c r="Z163" s="28"/>
      <c r="AA163" s="67"/>
      <c r="AB163" s="28"/>
      <c r="AC163" s="67"/>
      <c r="AD163" s="28"/>
      <c r="AE163" s="67"/>
      <c r="AF163" s="28"/>
      <c r="AG163" s="67"/>
      <c r="AH163" s="10"/>
      <c r="AI163" s="67"/>
      <c r="AJ163" s="10"/>
      <c r="AK163" s="67"/>
    </row>
    <row r="164" spans="1:37" s="45" customFormat="1" ht="16.5" hidden="1">
      <c r="A164" s="80"/>
      <c r="B164" s="3"/>
      <c r="C164" s="18" t="s">
        <v>2</v>
      </c>
      <c r="D164" s="26">
        <f>+IF(B155&gt;0,B163/B155,0)</f>
        <v>0</v>
      </c>
      <c r="E164" s="8" t="s">
        <v>74</v>
      </c>
      <c r="F164" s="8"/>
      <c r="G164" s="8"/>
      <c r="H164" s="8"/>
      <c r="L164" s="8"/>
      <c r="M164" s="42">
        <f>+IF(D164=1,0.5,0)</f>
        <v>0</v>
      </c>
      <c r="N164" s="46"/>
      <c r="P164" s="136">
        <v>100</v>
      </c>
      <c r="Q164" s="129"/>
      <c r="R164" s="129"/>
      <c r="S164" s="129"/>
      <c r="T164" s="129"/>
      <c r="U164" s="129"/>
      <c r="V164" s="131" t="s">
        <v>67</v>
      </c>
      <c r="X164" s="43"/>
      <c r="Y164" s="47"/>
      <c r="Z164" s="28"/>
      <c r="AA164" s="67"/>
      <c r="AB164" s="28"/>
      <c r="AC164" s="70"/>
      <c r="AD164" s="28"/>
      <c r="AE164" s="70"/>
      <c r="AF164" s="28"/>
      <c r="AG164" s="70"/>
      <c r="AH164" s="48"/>
      <c r="AI164" s="70"/>
      <c r="AJ164" s="48"/>
      <c r="AK164" s="70"/>
    </row>
    <row r="165" spans="1:37" s="29" customFormat="1" ht="6" customHeight="1">
      <c r="A165" s="81"/>
      <c r="D165" s="38"/>
      <c r="E165" s="38"/>
      <c r="F165" s="38"/>
      <c r="G165" s="38"/>
      <c r="H165" s="38"/>
      <c r="L165" s="38"/>
      <c r="M165" s="30"/>
      <c r="N165" s="30"/>
      <c r="P165" s="129"/>
      <c r="Q165" s="129"/>
      <c r="R165" s="129"/>
      <c r="S165" s="129"/>
      <c r="T165" s="129"/>
      <c r="U165" s="129"/>
      <c r="V165" s="130"/>
      <c r="W165" s="46"/>
      <c r="X165" s="11"/>
      <c r="Y165" s="11"/>
      <c r="Z165" s="2"/>
      <c r="AA165" s="4"/>
      <c r="AB165" s="2"/>
      <c r="AC165" s="4"/>
      <c r="AD165" s="2"/>
      <c r="AE165" s="4"/>
      <c r="AF165" s="2"/>
      <c r="AG165" s="4"/>
      <c r="AH165" s="2"/>
      <c r="AI165" s="4"/>
      <c r="AJ165" s="2"/>
      <c r="AK165" s="4"/>
    </row>
    <row r="166" spans="1:37" s="8" customFormat="1" ht="16.5">
      <c r="A166" s="80"/>
      <c r="B166" s="9" t="s">
        <v>166</v>
      </c>
      <c r="C166" s="18"/>
      <c r="D166" s="26"/>
      <c r="I166" s="45"/>
      <c r="J166" s="45"/>
      <c r="K166" s="45"/>
      <c r="M166" s="42">
        <f>SUM(M140:M165)</f>
        <v>0</v>
      </c>
      <c r="N166" s="49"/>
      <c r="P166" s="136"/>
      <c r="Q166" s="129"/>
      <c r="R166" s="129"/>
      <c r="S166" s="129"/>
      <c r="T166" s="129"/>
      <c r="U166" s="129"/>
      <c r="V166" s="141"/>
      <c r="W166" s="150"/>
      <c r="X166" s="43"/>
      <c r="Y166" s="36"/>
      <c r="Z166" s="28"/>
      <c r="AA166" s="67"/>
      <c r="AB166" s="28"/>
      <c r="AC166" s="70"/>
      <c r="AD166" s="28"/>
      <c r="AE166" s="70"/>
      <c r="AF166" s="28"/>
      <c r="AG166" s="70"/>
      <c r="AH166" s="10"/>
      <c r="AI166" s="67"/>
      <c r="AJ166" s="10"/>
      <c r="AK166" s="67"/>
    </row>
    <row r="167" spans="1:37" s="8" customFormat="1" ht="16.5">
      <c r="A167" s="80"/>
      <c r="B167" s="8" t="s">
        <v>84</v>
      </c>
      <c r="C167" s="18"/>
      <c r="F167" s="45"/>
      <c r="G167" s="26">
        <f>+(Dauergründland_plus_Streuefläche+B16)/LN</f>
        <v>0</v>
      </c>
      <c r="H167" s="45"/>
      <c r="I167" s="45"/>
      <c r="J167" s="45"/>
      <c r="K167" s="45"/>
      <c r="L167" s="45"/>
      <c r="M167" s="42"/>
      <c r="N167" s="49"/>
      <c r="P167" s="129"/>
      <c r="Q167" s="129"/>
      <c r="R167" s="129"/>
      <c r="S167" s="129"/>
      <c r="T167" s="129"/>
      <c r="U167" s="129"/>
      <c r="V167" s="131"/>
      <c r="W167" s="45"/>
      <c r="X167" s="43"/>
      <c r="Y167" s="36"/>
      <c r="Z167" s="44"/>
      <c r="AA167" s="67"/>
      <c r="AB167" s="44"/>
      <c r="AC167" s="67"/>
      <c r="AD167" s="44"/>
      <c r="AE167" s="67"/>
      <c r="AF167" s="10"/>
      <c r="AG167" s="67"/>
      <c r="AH167" s="10"/>
      <c r="AI167" s="67"/>
      <c r="AJ167" s="10"/>
      <c r="AK167" s="67"/>
    </row>
    <row r="168" spans="1:37" s="29" customFormat="1" ht="6" customHeight="1">
      <c r="A168" s="81"/>
      <c r="D168" s="38"/>
      <c r="E168" s="38"/>
      <c r="F168" s="38"/>
      <c r="G168" s="38"/>
      <c r="H168" s="38"/>
      <c r="L168" s="38"/>
      <c r="M168" s="30"/>
      <c r="N168" s="30"/>
      <c r="P168" s="129"/>
      <c r="Q168" s="129"/>
      <c r="R168" s="129"/>
      <c r="S168" s="129"/>
      <c r="T168" s="129"/>
      <c r="U168" s="129"/>
      <c r="V168" s="130"/>
      <c r="W168" s="46"/>
      <c r="X168" s="11"/>
      <c r="Y168" s="11"/>
      <c r="Z168" s="2"/>
      <c r="AA168" s="4"/>
      <c r="AB168" s="2"/>
      <c r="AC168" s="4"/>
      <c r="AD168" s="2"/>
      <c r="AE168" s="4"/>
      <c r="AF168" s="2"/>
      <c r="AG168" s="4"/>
      <c r="AH168" s="2"/>
      <c r="AI168" s="4"/>
      <c r="AJ168" s="2"/>
      <c r="AK168" s="4"/>
    </row>
    <row r="169" spans="1:37" s="14" customFormat="1" ht="16.5">
      <c r="A169" s="13" t="s">
        <v>139</v>
      </c>
      <c r="C169" s="13"/>
      <c r="K169" s="124"/>
      <c r="N169" s="125" t="e">
        <f>+ROUND((#REF!/$B$13*20)*2,0)/2</f>
        <v>#REF!</v>
      </c>
      <c r="O169" s="127">
        <f>+M166*G167</f>
        <v>0</v>
      </c>
      <c r="P169" s="95"/>
      <c r="Q169" s="95"/>
      <c r="R169" s="95"/>
      <c r="S169" s="95"/>
      <c r="T169" s="95"/>
      <c r="U169" s="95"/>
      <c r="V169" s="126"/>
      <c r="W169" s="95"/>
      <c r="X169" s="11"/>
      <c r="Y169" s="11"/>
      <c r="Z169" s="2"/>
      <c r="AA169" s="4"/>
      <c r="AB169" s="2"/>
      <c r="AC169" s="4"/>
      <c r="AD169" s="2"/>
      <c r="AE169" s="4"/>
      <c r="AF169" s="2"/>
      <c r="AG169" s="4"/>
      <c r="AH169" s="2"/>
      <c r="AI169" s="4"/>
      <c r="AJ169" s="2"/>
      <c r="AK169" s="4"/>
    </row>
    <row r="170" spans="1:37" s="29" customFormat="1" ht="6" customHeight="1">
      <c r="A170" s="81"/>
      <c r="D170" s="38"/>
      <c r="E170" s="38"/>
      <c r="F170" s="38"/>
      <c r="G170" s="38"/>
      <c r="H170" s="38"/>
      <c r="L170" s="38"/>
      <c r="M170" s="30"/>
      <c r="N170" s="30"/>
      <c r="P170" s="129"/>
      <c r="Q170" s="129"/>
      <c r="R170" s="129"/>
      <c r="S170" s="129"/>
      <c r="T170" s="129"/>
      <c r="U170" s="129"/>
      <c r="V170" s="130"/>
      <c r="W170" s="46"/>
      <c r="X170" s="11"/>
      <c r="Y170" s="11"/>
      <c r="Z170" s="2"/>
      <c r="AA170" s="4"/>
      <c r="AB170" s="2"/>
      <c r="AC170" s="4"/>
      <c r="AD170" s="2"/>
      <c r="AE170" s="4"/>
      <c r="AF170" s="2"/>
      <c r="AG170" s="4"/>
      <c r="AH170" s="2"/>
      <c r="AI170" s="4"/>
      <c r="AJ170" s="2"/>
      <c r="AK170" s="4"/>
    </row>
    <row r="171" spans="1:37" s="14" customFormat="1" ht="15.75">
      <c r="A171" s="13" t="s">
        <v>127</v>
      </c>
      <c r="C171" s="13"/>
      <c r="K171" s="124"/>
      <c r="M171" s="125" t="s">
        <v>13</v>
      </c>
      <c r="N171" s="125" t="s">
        <v>5</v>
      </c>
      <c r="O171" s="125" t="s">
        <v>137</v>
      </c>
      <c r="P171" s="95" t="s">
        <v>20</v>
      </c>
      <c r="Q171" s="95" t="s">
        <v>14</v>
      </c>
      <c r="R171" s="95" t="s">
        <v>21</v>
      </c>
      <c r="S171" s="95" t="s">
        <v>15</v>
      </c>
      <c r="T171" s="95"/>
      <c r="U171" s="95"/>
      <c r="V171" s="95" t="s">
        <v>19</v>
      </c>
      <c r="W171" s="95"/>
      <c r="X171" s="11"/>
      <c r="Y171" s="11"/>
      <c r="Z171" s="2"/>
      <c r="AA171" s="4"/>
      <c r="AB171" s="2"/>
      <c r="AC171" s="4"/>
      <c r="AD171" s="2"/>
      <c r="AE171" s="4"/>
      <c r="AF171" s="2"/>
      <c r="AG171" s="4"/>
      <c r="AH171" s="2"/>
      <c r="AI171" s="4"/>
      <c r="AJ171" s="2"/>
      <c r="AK171" s="4"/>
    </row>
    <row r="172" spans="1:37" s="29" customFormat="1" ht="6" customHeight="1">
      <c r="A172" s="81"/>
      <c r="D172" s="38"/>
      <c r="E172" s="38"/>
      <c r="F172" s="38"/>
      <c r="G172" s="38"/>
      <c r="H172" s="38"/>
      <c r="L172" s="38"/>
      <c r="M172" s="30"/>
      <c r="N172" s="30"/>
      <c r="P172" s="129"/>
      <c r="Q172" s="129"/>
      <c r="R172" s="129"/>
      <c r="S172" s="129"/>
      <c r="T172" s="129"/>
      <c r="U172" s="129"/>
      <c r="V172" s="130"/>
      <c r="W172" s="46"/>
      <c r="X172" s="11"/>
      <c r="Y172" s="11"/>
      <c r="Z172" s="2"/>
      <c r="AA172" s="4"/>
      <c r="AB172" s="2"/>
      <c r="AC172" s="4"/>
      <c r="AD172" s="2"/>
      <c r="AE172" s="4"/>
      <c r="AF172" s="2"/>
      <c r="AG172" s="4"/>
      <c r="AH172" s="2"/>
      <c r="AI172" s="4"/>
      <c r="AJ172" s="2"/>
      <c r="AK172" s="4"/>
    </row>
    <row r="173" spans="1:37" s="8" customFormat="1" ht="16.5">
      <c r="A173" s="80">
        <v>13</v>
      </c>
      <c r="B173" s="72" t="s">
        <v>68</v>
      </c>
      <c r="C173" s="18"/>
      <c r="D173" s="34"/>
      <c r="I173" s="45"/>
      <c r="J173" s="45"/>
      <c r="K173" s="45"/>
      <c r="M173" s="42"/>
      <c r="N173" s="21"/>
      <c r="P173" s="136"/>
      <c r="Q173" s="129"/>
      <c r="R173" s="129"/>
      <c r="S173" s="129"/>
      <c r="T173" s="129"/>
      <c r="U173" s="129"/>
      <c r="V173" s="131"/>
      <c r="W173" s="45"/>
      <c r="X173" s="43"/>
      <c r="Y173" s="36"/>
      <c r="Z173" s="23"/>
      <c r="AA173" s="69"/>
      <c r="AB173" s="23"/>
      <c r="AC173" s="69"/>
      <c r="AD173" s="23"/>
      <c r="AE173" s="71"/>
      <c r="AF173" s="23"/>
      <c r="AG173" s="69"/>
      <c r="AH173" s="23"/>
      <c r="AI173" s="69"/>
      <c r="AJ173" s="23"/>
      <c r="AK173" s="69"/>
    </row>
    <row r="174" spans="1:37" s="8" customFormat="1" ht="16.5">
      <c r="A174" s="80">
        <v>13.1</v>
      </c>
      <c r="B174" s="50">
        <v>0</v>
      </c>
      <c r="C174" s="45" t="s">
        <v>81</v>
      </c>
      <c r="D174" s="74"/>
      <c r="E174" s="45"/>
      <c r="F174" s="45"/>
      <c r="G174" s="45"/>
      <c r="H174" s="45"/>
      <c r="I174" s="45"/>
      <c r="J174" s="45"/>
      <c r="K174" s="45"/>
      <c r="L174" s="45"/>
      <c r="M174" s="42">
        <f>++IF(B174&gt;AF174,AG174,IF(B174&gt;AD174,AE174,IF(B174&gt;AB174,AC174,IF(B174&gt;=Z174,AA174,))))</f>
        <v>0</v>
      </c>
      <c r="N174" s="75"/>
      <c r="P174" s="136" t="str">
        <f>+Z174&amp;"-"&amp;AB174</f>
        <v>100-200</v>
      </c>
      <c r="Q174" s="129" t="str">
        <f>+"&gt;"&amp;AB174&amp;"-"&amp;AD174</f>
        <v>&gt;200-300</v>
      </c>
      <c r="R174" s="129" t="str">
        <f>+"&gt;"&amp;AD174&amp;"-"&amp;AF174</f>
        <v>&gt;300-400</v>
      </c>
      <c r="S174" s="129" t="str">
        <f>+"&gt;"&amp;AF174</f>
        <v>&gt;400</v>
      </c>
      <c r="T174" s="129"/>
      <c r="U174" s="129"/>
      <c r="V174" s="131" t="s">
        <v>25</v>
      </c>
      <c r="W174" s="45"/>
      <c r="X174" s="43"/>
      <c r="Y174" s="36"/>
      <c r="Z174" s="76">
        <v>100</v>
      </c>
      <c r="AA174" s="67">
        <v>0.5</v>
      </c>
      <c r="AB174" s="76">
        <v>200</v>
      </c>
      <c r="AC174" s="67">
        <v>1</v>
      </c>
      <c r="AD174" s="76">
        <v>300</v>
      </c>
      <c r="AE174" s="71">
        <v>1.5</v>
      </c>
      <c r="AF174" s="76">
        <v>400</v>
      </c>
      <c r="AG174" s="67">
        <v>2</v>
      </c>
      <c r="AH174" s="23"/>
      <c r="AI174" s="69"/>
      <c r="AJ174" s="23"/>
      <c r="AK174" s="69"/>
    </row>
    <row r="175" spans="1:37" s="29" customFormat="1" ht="6" customHeight="1">
      <c r="A175" s="81"/>
      <c r="D175" s="38"/>
      <c r="E175" s="38"/>
      <c r="F175" s="38"/>
      <c r="G175" s="38"/>
      <c r="H175" s="38"/>
      <c r="L175" s="38"/>
      <c r="M175" s="30"/>
      <c r="N175" s="30"/>
      <c r="P175" s="129"/>
      <c r="Q175" s="129"/>
      <c r="R175" s="129"/>
      <c r="S175" s="129"/>
      <c r="T175" s="129"/>
      <c r="U175" s="129"/>
      <c r="V175" s="130"/>
      <c r="W175" s="46"/>
      <c r="X175" s="11"/>
      <c r="Y175" s="11"/>
      <c r="Z175" s="2"/>
      <c r="AA175" s="4"/>
      <c r="AB175" s="2"/>
      <c r="AC175" s="4"/>
      <c r="AD175" s="2"/>
      <c r="AE175" s="4"/>
      <c r="AF175" s="2"/>
      <c r="AG175" s="4"/>
      <c r="AH175" s="2"/>
      <c r="AI175" s="4"/>
      <c r="AJ175" s="2"/>
      <c r="AK175" s="4"/>
    </row>
    <row r="176" spans="1:37" s="8" customFormat="1" ht="16.5">
      <c r="A176" s="80">
        <v>14</v>
      </c>
      <c r="B176" s="9" t="s">
        <v>86</v>
      </c>
      <c r="P176" s="132"/>
      <c r="Q176" s="132"/>
      <c r="R176" s="132"/>
      <c r="S176" s="132"/>
      <c r="T176" s="132"/>
      <c r="U176" s="132"/>
      <c r="V176" s="131"/>
      <c r="W176" s="45"/>
      <c r="X176" s="10"/>
      <c r="Y176" s="10"/>
      <c r="Z176" s="10"/>
      <c r="AA176" s="67"/>
      <c r="AB176" s="10"/>
      <c r="AC176" s="67"/>
      <c r="AD176" s="10"/>
      <c r="AE176" s="67"/>
      <c r="AF176" s="10"/>
      <c r="AG176" s="67"/>
      <c r="AH176" s="10"/>
      <c r="AI176" s="67"/>
      <c r="AJ176" s="10"/>
      <c r="AK176" s="67"/>
    </row>
    <row r="177" spans="1:37" s="8" customFormat="1" ht="16.5">
      <c r="A177" s="80">
        <v>14.1</v>
      </c>
      <c r="C177" s="8" t="s">
        <v>87</v>
      </c>
      <c r="P177" s="132"/>
      <c r="Q177" s="132"/>
      <c r="R177" s="132"/>
      <c r="S177" s="132"/>
      <c r="T177" s="132"/>
      <c r="U177" s="132"/>
      <c r="V177" s="131"/>
      <c r="W177" s="45"/>
      <c r="X177" s="10"/>
      <c r="Y177" s="10"/>
      <c r="Z177" s="10"/>
      <c r="AA177" s="67"/>
      <c r="AB177" s="10"/>
      <c r="AC177" s="67"/>
      <c r="AD177" s="10"/>
      <c r="AE177" s="67"/>
      <c r="AF177" s="10"/>
      <c r="AG177" s="67"/>
      <c r="AH177" s="10"/>
      <c r="AI177" s="67"/>
      <c r="AJ177" s="10"/>
      <c r="AK177" s="67"/>
    </row>
    <row r="178" spans="1:37" s="8" customFormat="1" ht="16.5">
      <c r="A178" s="80"/>
      <c r="B178" s="117">
        <v>0</v>
      </c>
      <c r="C178" s="8" t="s">
        <v>140</v>
      </c>
      <c r="P178" s="132"/>
      <c r="Q178" s="132"/>
      <c r="R178" s="132"/>
      <c r="S178" s="132"/>
      <c r="T178" s="132"/>
      <c r="U178" s="132"/>
      <c r="V178" s="131"/>
      <c r="W178" s="45"/>
      <c r="X178" s="10"/>
      <c r="Y178" s="10"/>
      <c r="Z178" s="10"/>
      <c r="AA178" s="67"/>
      <c r="AB178" s="10"/>
      <c r="AC178" s="67"/>
      <c r="AD178" s="10"/>
      <c r="AE178" s="67"/>
      <c r="AF178" s="10"/>
      <c r="AG178" s="67"/>
      <c r="AH178" s="10"/>
      <c r="AI178" s="67"/>
      <c r="AJ178" s="10"/>
      <c r="AK178" s="67"/>
    </row>
    <row r="179" spans="1:37" s="8" customFormat="1" ht="16.5">
      <c r="A179" s="80"/>
      <c r="B179" s="18" t="s">
        <v>2</v>
      </c>
      <c r="C179" s="26">
        <f>+IF(B178&gt;0,B178/B24,0)</f>
        <v>0</v>
      </c>
      <c r="D179" s="8" t="s">
        <v>88</v>
      </c>
      <c r="M179" s="42">
        <f>++IF(C179&gt;AF179,AG179,IF(C179&gt;AD179,AE179,IF(C179&gt;AB179,AC179,IF(C179&gt;=Z179,AA179,))))</f>
        <v>0</v>
      </c>
      <c r="P179" s="136" t="str">
        <f>+Z179*100&amp;"-"&amp;AB179*100</f>
        <v>10-25</v>
      </c>
      <c r="Q179" s="129" t="str">
        <f>+"&gt;"&amp;AB179*100&amp;"-"&amp;AD179*100</f>
        <v>&gt;25-50</v>
      </c>
      <c r="R179" s="129" t="str">
        <f>+"&gt;"&amp;AD179*100&amp;"-"&amp;AF179*100</f>
        <v>&gt;50-75</v>
      </c>
      <c r="S179" s="129" t="str">
        <f>+"&gt;"&amp;AF179*100</f>
        <v>&gt;75</v>
      </c>
      <c r="T179" s="129"/>
      <c r="U179" s="129"/>
      <c r="V179" s="131"/>
      <c r="W179" s="45"/>
      <c r="X179" s="43"/>
      <c r="Y179" s="36"/>
      <c r="Z179" s="66">
        <v>0.1</v>
      </c>
      <c r="AA179" s="67">
        <v>0.5</v>
      </c>
      <c r="AB179" s="66">
        <v>0.25</v>
      </c>
      <c r="AC179" s="67">
        <v>1</v>
      </c>
      <c r="AD179" s="66">
        <v>0.5</v>
      </c>
      <c r="AE179" s="67">
        <v>1.5</v>
      </c>
      <c r="AF179" s="66">
        <v>0.75</v>
      </c>
      <c r="AG179" s="67">
        <v>2</v>
      </c>
      <c r="AH179" s="23"/>
      <c r="AI179" s="69"/>
      <c r="AJ179" s="23"/>
      <c r="AK179" s="69"/>
    </row>
    <row r="180" spans="1:37" s="8" customFormat="1" ht="16.5">
      <c r="A180" s="80">
        <v>14.2</v>
      </c>
      <c r="C180" s="84" t="s">
        <v>89</v>
      </c>
      <c r="D180" s="34"/>
      <c r="I180" s="45"/>
      <c r="J180" s="45"/>
      <c r="K180" s="45"/>
      <c r="N180" s="21"/>
      <c r="P180" s="136"/>
      <c r="Q180" s="129"/>
      <c r="R180" s="129"/>
      <c r="S180" s="129"/>
      <c r="T180" s="129"/>
      <c r="U180" s="129"/>
      <c r="V180" s="131"/>
      <c r="W180" s="45"/>
      <c r="X180" s="43"/>
      <c r="Y180" s="36"/>
      <c r="Z180" s="66"/>
      <c r="AA180" s="67"/>
      <c r="AB180" s="66"/>
      <c r="AC180" s="67"/>
      <c r="AD180" s="66"/>
      <c r="AE180" s="67"/>
      <c r="AF180" s="66"/>
      <c r="AG180" s="67"/>
      <c r="AH180" s="23"/>
      <c r="AI180" s="69"/>
      <c r="AJ180" s="23"/>
      <c r="AK180" s="69"/>
    </row>
    <row r="181" spans="1:37" s="8" customFormat="1" ht="16.5">
      <c r="A181" s="80"/>
      <c r="C181" s="45" t="s">
        <v>23</v>
      </c>
      <c r="E181" s="45"/>
      <c r="F181" s="45"/>
      <c r="G181" s="45"/>
      <c r="H181" s="45"/>
      <c r="I181" s="45"/>
      <c r="J181" s="45"/>
      <c r="K181" s="45"/>
      <c r="L181" s="45"/>
      <c r="M181" s="104">
        <v>0</v>
      </c>
      <c r="P181" s="132"/>
      <c r="Q181" s="132"/>
      <c r="R181" s="132"/>
      <c r="S181" s="132"/>
      <c r="T181" s="132"/>
      <c r="U181" s="132"/>
      <c r="V181" s="131"/>
      <c r="W181" s="45"/>
      <c r="X181" s="10"/>
      <c r="Y181" s="10"/>
      <c r="Z181" s="10"/>
      <c r="AA181" s="67"/>
      <c r="AB181" s="10"/>
      <c r="AC181" s="67"/>
      <c r="AD181" s="10"/>
      <c r="AE181" s="67"/>
      <c r="AF181" s="10"/>
      <c r="AG181" s="67"/>
      <c r="AH181" s="10"/>
      <c r="AI181" s="67"/>
      <c r="AJ181" s="10"/>
      <c r="AK181" s="67"/>
    </row>
    <row r="182" spans="1:37" s="29" customFormat="1" ht="6" customHeight="1">
      <c r="A182" s="81"/>
      <c r="D182" s="38"/>
      <c r="E182" s="38"/>
      <c r="F182" s="38"/>
      <c r="G182" s="38"/>
      <c r="H182" s="38"/>
      <c r="L182" s="38"/>
      <c r="M182" s="30"/>
      <c r="N182" s="30"/>
      <c r="P182" s="129"/>
      <c r="Q182" s="129"/>
      <c r="R182" s="129"/>
      <c r="S182" s="129"/>
      <c r="T182" s="129"/>
      <c r="U182" s="129"/>
      <c r="V182" s="130"/>
      <c r="W182" s="46"/>
      <c r="X182" s="11"/>
      <c r="Y182" s="11"/>
      <c r="Z182" s="2"/>
      <c r="AA182" s="4"/>
      <c r="AB182" s="2"/>
      <c r="AC182" s="4"/>
      <c r="AD182" s="2"/>
      <c r="AE182" s="4"/>
      <c r="AF182" s="2"/>
      <c r="AG182" s="4"/>
      <c r="AH182" s="2"/>
      <c r="AI182" s="4"/>
      <c r="AJ182" s="2"/>
      <c r="AK182" s="4"/>
    </row>
    <row r="183" spans="1:37" s="8" customFormat="1" ht="16.5">
      <c r="A183" s="80">
        <v>15</v>
      </c>
      <c r="B183" s="118" t="s">
        <v>69</v>
      </c>
      <c r="E183" s="51"/>
      <c r="F183" s="51"/>
      <c r="G183" s="51"/>
      <c r="H183" s="51"/>
      <c r="I183" s="51"/>
      <c r="J183" s="51"/>
      <c r="K183" s="51"/>
      <c r="L183" s="51"/>
      <c r="M183" s="57"/>
      <c r="N183" s="51"/>
      <c r="P183" s="137"/>
      <c r="Q183" s="137"/>
      <c r="R183" s="137"/>
      <c r="S183" s="137"/>
      <c r="T183" s="137"/>
      <c r="U183" s="137"/>
      <c r="V183" s="138"/>
      <c r="W183" s="51"/>
      <c r="X183" s="58"/>
      <c r="Y183" s="58"/>
      <c r="Z183" s="10"/>
      <c r="AA183" s="67"/>
      <c r="AB183" s="10"/>
      <c r="AC183" s="67"/>
      <c r="AD183" s="10"/>
      <c r="AE183" s="67"/>
      <c r="AF183" s="10"/>
      <c r="AG183" s="67"/>
      <c r="AH183" s="10"/>
      <c r="AI183" s="67"/>
      <c r="AJ183" s="10"/>
      <c r="AK183" s="67"/>
    </row>
    <row r="184" spans="3:37" s="8" customFormat="1" ht="16.5">
      <c r="C184" s="45" t="s">
        <v>141</v>
      </c>
      <c r="E184" s="45"/>
      <c r="F184" s="45"/>
      <c r="G184" s="45"/>
      <c r="H184" s="45"/>
      <c r="I184" s="45"/>
      <c r="J184" s="45"/>
      <c r="K184" s="45"/>
      <c r="L184" s="45"/>
      <c r="M184" s="54"/>
      <c r="P184" s="132"/>
      <c r="Q184" s="132"/>
      <c r="R184" s="132"/>
      <c r="S184" s="132"/>
      <c r="T184" s="132"/>
      <c r="U184" s="132"/>
      <c r="V184" s="131"/>
      <c r="W184" s="45"/>
      <c r="X184" s="10"/>
      <c r="Y184" s="10"/>
      <c r="Z184" s="10"/>
      <c r="AA184" s="67"/>
      <c r="AB184" s="10"/>
      <c r="AC184" s="67"/>
      <c r="AD184" s="10"/>
      <c r="AE184" s="67"/>
      <c r="AF184" s="10"/>
      <c r="AG184" s="67"/>
      <c r="AH184" s="10"/>
      <c r="AI184" s="67"/>
      <c r="AJ184" s="10"/>
      <c r="AK184" s="67"/>
    </row>
    <row r="185" spans="3:37" s="8" customFormat="1" ht="16.5">
      <c r="C185" s="45" t="s">
        <v>142</v>
      </c>
      <c r="E185" s="45"/>
      <c r="F185" s="45"/>
      <c r="G185" s="45"/>
      <c r="H185" s="45"/>
      <c r="I185" s="45"/>
      <c r="J185" s="45"/>
      <c r="K185" s="45"/>
      <c r="L185" s="45"/>
      <c r="M185" s="54"/>
      <c r="P185" s="132"/>
      <c r="Q185" s="132"/>
      <c r="R185" s="132"/>
      <c r="S185" s="132"/>
      <c r="T185" s="132"/>
      <c r="U185" s="132"/>
      <c r="V185" s="131"/>
      <c r="W185" s="45"/>
      <c r="X185" s="10"/>
      <c r="Y185" s="10"/>
      <c r="Z185" s="10"/>
      <c r="AA185" s="67"/>
      <c r="AB185" s="10"/>
      <c r="AC185" s="67"/>
      <c r="AD185" s="10"/>
      <c r="AE185" s="67"/>
      <c r="AF185" s="10"/>
      <c r="AG185" s="67"/>
      <c r="AH185" s="10"/>
      <c r="AI185" s="67"/>
      <c r="AJ185" s="10"/>
      <c r="AK185" s="67"/>
    </row>
    <row r="186" spans="1:37" s="8" customFormat="1" ht="16.5">
      <c r="A186" s="80"/>
      <c r="C186" s="45" t="s">
        <v>23</v>
      </c>
      <c r="E186" s="45"/>
      <c r="F186" s="45"/>
      <c r="G186" s="45"/>
      <c r="H186" s="45"/>
      <c r="I186" s="45"/>
      <c r="J186" s="45"/>
      <c r="K186" s="45"/>
      <c r="L186" s="45"/>
      <c r="M186" s="104">
        <v>0</v>
      </c>
      <c r="P186" s="129"/>
      <c r="Q186" s="129"/>
      <c r="R186" s="129"/>
      <c r="S186" s="129"/>
      <c r="T186" s="129"/>
      <c r="U186" s="129"/>
      <c r="V186" s="131"/>
      <c r="W186" s="45"/>
      <c r="X186" s="10"/>
      <c r="Y186" s="10"/>
      <c r="Z186" s="10"/>
      <c r="AA186" s="67"/>
      <c r="AB186" s="10"/>
      <c r="AC186" s="67"/>
      <c r="AD186" s="10"/>
      <c r="AE186" s="67"/>
      <c r="AF186" s="10"/>
      <c r="AG186" s="67"/>
      <c r="AH186" s="10"/>
      <c r="AI186" s="67"/>
      <c r="AJ186" s="10"/>
      <c r="AK186" s="67"/>
    </row>
    <row r="187" spans="1:37" s="29" customFormat="1" ht="6" customHeight="1">
      <c r="A187" s="81"/>
      <c r="D187" s="38"/>
      <c r="E187" s="38"/>
      <c r="F187" s="38"/>
      <c r="G187" s="38"/>
      <c r="H187" s="38"/>
      <c r="L187" s="38"/>
      <c r="M187" s="30"/>
      <c r="N187" s="30"/>
      <c r="P187" s="129"/>
      <c r="Q187" s="129"/>
      <c r="R187" s="129"/>
      <c r="S187" s="129"/>
      <c r="T187" s="129"/>
      <c r="U187" s="129"/>
      <c r="V187" s="130"/>
      <c r="W187" s="46"/>
      <c r="X187" s="11"/>
      <c r="Y187" s="11"/>
      <c r="Z187" s="2"/>
      <c r="AA187" s="4"/>
      <c r="AB187" s="2"/>
      <c r="AC187" s="4"/>
      <c r="AD187" s="2"/>
      <c r="AE187" s="4"/>
      <c r="AF187" s="2"/>
      <c r="AG187" s="4"/>
      <c r="AH187" s="2"/>
      <c r="AI187" s="4"/>
      <c r="AJ187" s="2"/>
      <c r="AK187" s="4"/>
    </row>
    <row r="188" spans="1:37" s="14" customFormat="1" ht="16.5">
      <c r="A188" s="13" t="s">
        <v>131</v>
      </c>
      <c r="C188" s="13"/>
      <c r="K188" s="124"/>
      <c r="N188" s="125">
        <f>+SUM(N181:N187)</f>
        <v>0</v>
      </c>
      <c r="O188" s="127">
        <f>+SUM(M172:M187)</f>
        <v>0</v>
      </c>
      <c r="P188" s="95"/>
      <c r="Q188" s="95"/>
      <c r="R188" s="95"/>
      <c r="S188" s="95"/>
      <c r="T188" s="95"/>
      <c r="U188" s="95"/>
      <c r="V188" s="126"/>
      <c r="W188" s="95"/>
      <c r="X188" s="11"/>
      <c r="Y188" s="11"/>
      <c r="Z188" s="2"/>
      <c r="AA188" s="4"/>
      <c r="AB188" s="2"/>
      <c r="AC188" s="4"/>
      <c r="AD188" s="2"/>
      <c r="AE188" s="4"/>
      <c r="AF188" s="2"/>
      <c r="AG188" s="4"/>
      <c r="AH188" s="2"/>
      <c r="AI188" s="4"/>
      <c r="AJ188" s="2"/>
      <c r="AK188" s="4"/>
    </row>
    <row r="189" spans="1:37" s="29" customFormat="1" ht="6" customHeight="1">
      <c r="A189" s="81"/>
      <c r="D189" s="38"/>
      <c r="E189" s="38"/>
      <c r="F189" s="38"/>
      <c r="G189" s="38"/>
      <c r="H189" s="38"/>
      <c r="L189" s="38"/>
      <c r="M189" s="30"/>
      <c r="N189" s="30"/>
      <c r="P189" s="129"/>
      <c r="Q189" s="129"/>
      <c r="R189" s="129"/>
      <c r="S189" s="129"/>
      <c r="T189" s="129"/>
      <c r="U189" s="129"/>
      <c r="V189" s="130"/>
      <c r="W189" s="46"/>
      <c r="X189" s="11"/>
      <c r="Y189" s="11"/>
      <c r="Z189" s="2"/>
      <c r="AA189" s="4"/>
      <c r="AB189" s="2"/>
      <c r="AC189" s="4"/>
      <c r="AD189" s="2"/>
      <c r="AE189" s="4"/>
      <c r="AF189" s="2"/>
      <c r="AG189" s="4"/>
      <c r="AH189" s="2"/>
      <c r="AI189" s="4"/>
      <c r="AJ189" s="2"/>
      <c r="AK189" s="4"/>
    </row>
    <row r="190" spans="1:37" s="14" customFormat="1" ht="25.5" customHeight="1">
      <c r="A190" s="13" t="s">
        <v>132</v>
      </c>
      <c r="E190" s="37"/>
      <c r="F190" s="37"/>
      <c r="G190" s="37"/>
      <c r="H190" s="37"/>
      <c r="L190" s="37"/>
      <c r="N190" s="122">
        <f>+SUM(N183:N189)</f>
        <v>0</v>
      </c>
      <c r="O190" s="127">
        <f>+O188+O169+O138+O106</f>
        <v>1</v>
      </c>
      <c r="P190" s="95"/>
      <c r="Q190" s="95"/>
      <c r="R190" s="95"/>
      <c r="S190" s="95"/>
      <c r="T190" s="95"/>
      <c r="U190" s="95"/>
      <c r="V190" s="123"/>
      <c r="W190" s="95"/>
      <c r="X190" s="11"/>
      <c r="Y190" s="11"/>
      <c r="Z190" s="2"/>
      <c r="AA190" s="4"/>
      <c r="AB190" s="2"/>
      <c r="AC190" s="4"/>
      <c r="AD190" s="2"/>
      <c r="AE190" s="4"/>
      <c r="AF190" s="2"/>
      <c r="AG190" s="4"/>
      <c r="AH190" s="2"/>
      <c r="AI190" s="4"/>
      <c r="AJ190" s="2"/>
      <c r="AK190" s="4"/>
    </row>
    <row r="191" spans="1:37" s="29" customFormat="1" ht="6" customHeight="1">
      <c r="A191" s="81"/>
      <c r="D191" s="38"/>
      <c r="E191" s="38"/>
      <c r="F191" s="38"/>
      <c r="G191" s="38"/>
      <c r="H191" s="38"/>
      <c r="L191" s="38"/>
      <c r="M191" s="30"/>
      <c r="N191" s="30"/>
      <c r="P191" s="129"/>
      <c r="Q191" s="129"/>
      <c r="R191" s="129"/>
      <c r="S191" s="129"/>
      <c r="T191" s="129"/>
      <c r="U191" s="129"/>
      <c r="V191" s="130"/>
      <c r="W191" s="46"/>
      <c r="X191" s="11"/>
      <c r="Y191" s="11"/>
      <c r="Z191" s="2"/>
      <c r="AA191" s="4"/>
      <c r="AB191" s="2"/>
      <c r="AC191" s="4"/>
      <c r="AD191" s="2"/>
      <c r="AE191" s="4"/>
      <c r="AF191" s="2"/>
      <c r="AG191" s="4"/>
      <c r="AH191" s="2"/>
      <c r="AI191" s="4"/>
      <c r="AJ191" s="2"/>
      <c r="AK191" s="4"/>
    </row>
    <row r="192" spans="1:37" s="29" customFormat="1" ht="6" customHeight="1">
      <c r="A192" s="81"/>
      <c r="D192" s="38"/>
      <c r="E192" s="38"/>
      <c r="F192" s="38"/>
      <c r="G192" s="38"/>
      <c r="H192" s="38"/>
      <c r="L192" s="38"/>
      <c r="M192" s="30"/>
      <c r="N192" s="30"/>
      <c r="P192" s="129"/>
      <c r="Q192" s="129"/>
      <c r="R192" s="129"/>
      <c r="S192" s="129"/>
      <c r="T192" s="129"/>
      <c r="U192" s="129"/>
      <c r="V192" s="130"/>
      <c r="W192" s="46"/>
      <c r="X192" s="11"/>
      <c r="Y192" s="11"/>
      <c r="Z192" s="2"/>
      <c r="AA192" s="4"/>
      <c r="AB192" s="2"/>
      <c r="AC192" s="4"/>
      <c r="AD192" s="2"/>
      <c r="AE192" s="4"/>
      <c r="AF192" s="2"/>
      <c r="AG192" s="4"/>
      <c r="AH192" s="2"/>
      <c r="AI192" s="4"/>
      <c r="AJ192" s="2"/>
      <c r="AK192" s="4"/>
    </row>
    <row r="193" spans="1:37" s="40" customFormat="1" ht="25.5" customHeight="1">
      <c r="A193" s="39" t="s">
        <v>130</v>
      </c>
      <c r="E193" s="53"/>
      <c r="F193" s="53"/>
      <c r="G193" s="53"/>
      <c r="H193" s="53"/>
      <c r="L193" s="53"/>
      <c r="M193" s="143" t="s">
        <v>13</v>
      </c>
      <c r="N193" s="143" t="s">
        <v>5</v>
      </c>
      <c r="O193" s="143" t="s">
        <v>137</v>
      </c>
      <c r="P193" s="96" t="s">
        <v>20</v>
      </c>
      <c r="Q193" s="96" t="s">
        <v>14</v>
      </c>
      <c r="R193" s="96" t="s">
        <v>21</v>
      </c>
      <c r="S193" s="96" t="s">
        <v>15</v>
      </c>
      <c r="T193" s="96" t="s">
        <v>32</v>
      </c>
      <c r="U193" s="96"/>
      <c r="V193" s="96" t="s">
        <v>19</v>
      </c>
      <c r="X193" s="11"/>
      <c r="Y193" s="11"/>
      <c r="Z193" s="2"/>
      <c r="AA193" s="4"/>
      <c r="AB193" s="2"/>
      <c r="AC193" s="4"/>
      <c r="AD193" s="2"/>
      <c r="AE193" s="4"/>
      <c r="AF193" s="2"/>
      <c r="AG193" s="4"/>
      <c r="AH193" s="2"/>
      <c r="AI193" s="4"/>
      <c r="AJ193" s="2"/>
      <c r="AK193" s="4"/>
    </row>
    <row r="194" spans="1:37" s="29" customFormat="1" ht="6" customHeight="1">
      <c r="A194" s="81"/>
      <c r="D194" s="38"/>
      <c r="E194" s="38"/>
      <c r="F194" s="38"/>
      <c r="G194" s="38"/>
      <c r="H194" s="38"/>
      <c r="L194" s="38"/>
      <c r="M194" s="30"/>
      <c r="N194" s="30"/>
      <c r="P194" s="129"/>
      <c r="Q194" s="129"/>
      <c r="R194" s="129"/>
      <c r="S194" s="129"/>
      <c r="T194" s="129"/>
      <c r="U194" s="129"/>
      <c r="V194" s="130"/>
      <c r="W194" s="46"/>
      <c r="X194" s="11"/>
      <c r="Y194" s="11"/>
      <c r="Z194" s="2"/>
      <c r="AA194" s="4"/>
      <c r="AB194" s="2"/>
      <c r="AC194" s="4"/>
      <c r="AD194" s="2"/>
      <c r="AE194" s="4"/>
      <c r="AF194" s="2"/>
      <c r="AG194" s="4"/>
      <c r="AH194" s="2"/>
      <c r="AI194" s="4"/>
      <c r="AJ194" s="2"/>
      <c r="AK194" s="4"/>
    </row>
    <row r="195" spans="1:37" s="8" customFormat="1" ht="16.5">
      <c r="A195" s="80">
        <v>16.1</v>
      </c>
      <c r="B195" s="12">
        <v>0</v>
      </c>
      <c r="C195" s="45" t="s">
        <v>119</v>
      </c>
      <c r="D195" s="74"/>
      <c r="E195" s="45"/>
      <c r="F195" s="45"/>
      <c r="G195" s="45"/>
      <c r="H195" s="45"/>
      <c r="I195" s="45"/>
      <c r="J195" s="45"/>
      <c r="K195" s="45"/>
      <c r="L195" s="45"/>
      <c r="M195" s="42">
        <f>+IF(B195&gt;AH195,AI195,IF(B195&gt;AF195,AG195,IF(B195&gt;AD195,AE195,IF(B195&gt;AB195,AC195,IF(B195&gt;=Z195,AA195,0)))))</f>
        <v>0</v>
      </c>
      <c r="N195" s="21" t="e">
        <f>+#REF!*#REF!</f>
        <v>#REF!</v>
      </c>
      <c r="P195" s="136" t="str">
        <f>+Z195*100&amp;"-"&amp;AB195*100</f>
        <v>10-30</v>
      </c>
      <c r="Q195" s="129" t="str">
        <f>+"&gt;"&amp;AB195*100&amp;"-"&amp;AD195*100</f>
        <v>&gt;30-50</v>
      </c>
      <c r="R195" s="129" t="str">
        <f>+"&gt;"&amp;AD195*100&amp;"-"&amp;AF195*100</f>
        <v>&gt;50-70</v>
      </c>
      <c r="S195" s="129" t="str">
        <f>+"&gt;"&amp;AF195*100&amp;"-"&amp;AH195*100</f>
        <v>&gt;70-90</v>
      </c>
      <c r="T195" s="129" t="str">
        <f>+"&gt;"&amp;AH195*100</f>
        <v>&gt;90</v>
      </c>
      <c r="U195" s="129"/>
      <c r="V195" s="131" t="s">
        <v>67</v>
      </c>
      <c r="W195" s="45"/>
      <c r="X195" s="43"/>
      <c r="Y195" s="36"/>
      <c r="Z195" s="44">
        <v>0.1</v>
      </c>
      <c r="AA195" s="67">
        <v>0.5</v>
      </c>
      <c r="AB195" s="44">
        <v>0.3</v>
      </c>
      <c r="AC195" s="67">
        <v>1</v>
      </c>
      <c r="AD195" s="44">
        <v>0.5</v>
      </c>
      <c r="AE195" s="67">
        <v>1.5</v>
      </c>
      <c r="AF195" s="44">
        <v>0.7</v>
      </c>
      <c r="AG195" s="67">
        <v>2</v>
      </c>
      <c r="AH195" s="44">
        <v>0.9</v>
      </c>
      <c r="AI195" s="69">
        <v>2.5</v>
      </c>
      <c r="AJ195" s="23"/>
      <c r="AK195" s="69"/>
    </row>
    <row r="196" spans="1:37" s="8" customFormat="1" ht="16.5">
      <c r="A196" s="82" t="s">
        <v>92</v>
      </c>
      <c r="B196" s="100" t="s">
        <v>93</v>
      </c>
      <c r="C196" s="8" t="s">
        <v>120</v>
      </c>
      <c r="M196" s="42">
        <f>+IF(M195&gt;0,IF(B196="ja",0.5,0),0)</f>
        <v>0</v>
      </c>
      <c r="P196" s="132"/>
      <c r="Q196" s="132"/>
      <c r="R196" s="132"/>
      <c r="S196" s="132"/>
      <c r="T196" s="132"/>
      <c r="U196" s="132"/>
      <c r="V196" s="131" t="s">
        <v>96</v>
      </c>
      <c r="W196" s="45"/>
      <c r="X196" s="10"/>
      <c r="Y196" s="10"/>
      <c r="Z196" s="10"/>
      <c r="AA196" s="67"/>
      <c r="AB196" s="10"/>
      <c r="AC196" s="67"/>
      <c r="AD196" s="10"/>
      <c r="AE196" s="67"/>
      <c r="AF196" s="10"/>
      <c r="AG196" s="67"/>
      <c r="AH196" s="10"/>
      <c r="AI196" s="67"/>
      <c r="AJ196" s="10"/>
      <c r="AK196" s="67"/>
    </row>
    <row r="197" spans="1:37" s="8" customFormat="1" ht="16.5">
      <c r="A197" s="82" t="s">
        <v>94</v>
      </c>
      <c r="B197" s="100" t="s">
        <v>93</v>
      </c>
      <c r="C197" s="8" t="s">
        <v>106</v>
      </c>
      <c r="P197" s="132"/>
      <c r="Q197" s="132"/>
      <c r="R197" s="132"/>
      <c r="S197" s="132"/>
      <c r="T197" s="132"/>
      <c r="U197" s="132"/>
      <c r="V197" s="131" t="s">
        <v>96</v>
      </c>
      <c r="W197" s="45"/>
      <c r="X197" s="10"/>
      <c r="Y197" s="10"/>
      <c r="Z197" s="10"/>
      <c r="AA197" s="67"/>
      <c r="AB197" s="10"/>
      <c r="AC197" s="67"/>
      <c r="AD197" s="10"/>
      <c r="AE197" s="67"/>
      <c r="AF197" s="10"/>
      <c r="AG197" s="67"/>
      <c r="AH197" s="10"/>
      <c r="AI197" s="67"/>
      <c r="AJ197" s="10"/>
      <c r="AK197" s="67"/>
    </row>
    <row r="198" spans="1:37" s="8" customFormat="1" ht="16.5">
      <c r="A198" s="80"/>
      <c r="C198" s="45" t="s">
        <v>121</v>
      </c>
      <c r="D198" s="34"/>
      <c r="I198" s="45"/>
      <c r="J198" s="45"/>
      <c r="K198" s="45"/>
      <c r="M198" s="42">
        <f>+IF(M195&gt;0,IF(B197="ja",0.5,0),0)</f>
        <v>0</v>
      </c>
      <c r="N198" s="21"/>
      <c r="P198" s="136"/>
      <c r="Q198" s="129"/>
      <c r="R198" s="129"/>
      <c r="S198" s="129"/>
      <c r="T198" s="129"/>
      <c r="U198" s="129"/>
      <c r="V198" s="131"/>
      <c r="W198" s="45"/>
      <c r="X198" s="43"/>
      <c r="Y198" s="36"/>
      <c r="Z198" s="66"/>
      <c r="AA198" s="67"/>
      <c r="AB198" s="66"/>
      <c r="AC198" s="67"/>
      <c r="AD198" s="66"/>
      <c r="AE198" s="67"/>
      <c r="AF198" s="66"/>
      <c r="AG198" s="67"/>
      <c r="AH198" s="23"/>
      <c r="AI198" s="69"/>
      <c r="AJ198" s="23"/>
      <c r="AK198" s="69"/>
    </row>
    <row r="199" spans="1:37" s="8" customFormat="1" ht="16.5">
      <c r="A199" s="80">
        <v>16.2</v>
      </c>
      <c r="B199" s="100" t="s">
        <v>93</v>
      </c>
      <c r="C199" s="45" t="s">
        <v>122</v>
      </c>
      <c r="E199" s="45"/>
      <c r="F199" s="45"/>
      <c r="G199" s="45"/>
      <c r="H199" s="45"/>
      <c r="I199" s="45"/>
      <c r="J199" s="45"/>
      <c r="K199" s="45"/>
      <c r="L199" s="45"/>
      <c r="P199" s="132"/>
      <c r="Q199" s="132"/>
      <c r="R199" s="132"/>
      <c r="S199" s="132"/>
      <c r="T199" s="132"/>
      <c r="U199" s="132"/>
      <c r="V199" s="131" t="s">
        <v>96</v>
      </c>
      <c r="W199" s="45"/>
      <c r="X199" s="10"/>
      <c r="Y199" s="10"/>
      <c r="Z199" s="10"/>
      <c r="AA199" s="67"/>
      <c r="AB199" s="10"/>
      <c r="AC199" s="67"/>
      <c r="AD199" s="10"/>
      <c r="AE199" s="67"/>
      <c r="AF199" s="10"/>
      <c r="AG199" s="67"/>
      <c r="AH199" s="10"/>
      <c r="AI199" s="67"/>
      <c r="AJ199" s="10"/>
      <c r="AK199" s="67"/>
    </row>
    <row r="200" spans="1:37" s="8" customFormat="1" ht="16.5">
      <c r="A200" s="80"/>
      <c r="B200" s="51"/>
      <c r="C200" s="8" t="s">
        <v>95</v>
      </c>
      <c r="E200" s="51"/>
      <c r="F200" s="51"/>
      <c r="G200" s="51"/>
      <c r="H200" s="51"/>
      <c r="I200" s="51"/>
      <c r="J200" s="51"/>
      <c r="K200" s="51"/>
      <c r="L200" s="51"/>
      <c r="M200" s="42">
        <f>+IF(B197="ja",0.5,0)</f>
        <v>0</v>
      </c>
      <c r="N200" s="51"/>
      <c r="P200" s="137"/>
      <c r="Q200" s="137"/>
      <c r="R200" s="137"/>
      <c r="S200" s="137"/>
      <c r="T200" s="137"/>
      <c r="U200" s="137"/>
      <c r="V200" s="138"/>
      <c r="W200" s="51"/>
      <c r="X200" s="58"/>
      <c r="Y200" s="58"/>
      <c r="Z200" s="10"/>
      <c r="AA200" s="67"/>
      <c r="AB200" s="10"/>
      <c r="AC200" s="67"/>
      <c r="AD200" s="10"/>
      <c r="AE200" s="67"/>
      <c r="AF200" s="10"/>
      <c r="AG200" s="67"/>
      <c r="AH200" s="10"/>
      <c r="AI200" s="67"/>
      <c r="AJ200" s="10"/>
      <c r="AK200" s="67"/>
    </row>
    <row r="201" spans="1:37" s="8" customFormat="1" ht="16.5">
      <c r="A201" s="80">
        <v>16.3</v>
      </c>
      <c r="B201" s="12">
        <v>0</v>
      </c>
      <c r="C201" s="84" t="s">
        <v>97</v>
      </c>
      <c r="E201" s="45"/>
      <c r="F201" s="45"/>
      <c r="G201" s="45"/>
      <c r="H201" s="45"/>
      <c r="I201" s="45"/>
      <c r="J201" s="45"/>
      <c r="K201" s="45"/>
      <c r="L201" s="45"/>
      <c r="M201" s="42">
        <f>+IF(B201&gt;AH201,AI201,IF(B201&gt;AF201,AG201,IF(B201&gt;AD201,AE201,IF(B201&gt;AB201,AC201,IF(B201&gt;=Z201,AA201,0)))))</f>
        <v>0</v>
      </c>
      <c r="N201" s="21" t="e">
        <f>+B200*#REF!</f>
        <v>#REF!</v>
      </c>
      <c r="P201" s="136" t="str">
        <f>+Z201*100&amp;"-"&amp;AB201*100</f>
        <v>63-65</v>
      </c>
      <c r="Q201" s="129" t="str">
        <f>+"&gt;"&amp;AB201*100&amp;"-"&amp;AD201*100</f>
        <v>&gt;65-70</v>
      </c>
      <c r="R201" s="129" t="str">
        <f>+"&gt;"&amp;AD201*100&amp;"-"&amp;AF201*100</f>
        <v>&gt;70-75</v>
      </c>
      <c r="S201" s="129" t="str">
        <f>+"&gt;"&amp;AF201*100&amp;"-"&amp;AH201*100</f>
        <v>&gt;75-80</v>
      </c>
      <c r="T201" s="129" t="str">
        <f>+"&gt;"&amp;AH201*100</f>
        <v>&gt;80</v>
      </c>
      <c r="U201" s="132"/>
      <c r="V201" s="131" t="s">
        <v>67</v>
      </c>
      <c r="W201" s="45"/>
      <c r="X201" s="43"/>
      <c r="Y201" s="36"/>
      <c r="Z201" s="44">
        <v>0.63</v>
      </c>
      <c r="AA201" s="67">
        <v>0.5</v>
      </c>
      <c r="AB201" s="44">
        <v>0.65</v>
      </c>
      <c r="AC201" s="67">
        <v>1</v>
      </c>
      <c r="AD201" s="44">
        <v>0.7</v>
      </c>
      <c r="AE201" s="67">
        <v>1.5</v>
      </c>
      <c r="AF201" s="44">
        <v>0.75</v>
      </c>
      <c r="AG201" s="67">
        <v>2</v>
      </c>
      <c r="AH201" s="44">
        <v>0.8</v>
      </c>
      <c r="AI201" s="69">
        <v>2.5</v>
      </c>
      <c r="AJ201" s="23"/>
      <c r="AK201" s="69"/>
    </row>
    <row r="202" spans="1:37" s="8" customFormat="1" ht="16.5" outlineLevel="1">
      <c r="A202" s="81">
        <v>16.4</v>
      </c>
      <c r="B202" s="1">
        <v>0</v>
      </c>
      <c r="C202" s="45" t="s">
        <v>180</v>
      </c>
      <c r="E202" s="45"/>
      <c r="F202" s="45"/>
      <c r="G202" s="45"/>
      <c r="H202" s="45"/>
      <c r="I202" s="45"/>
      <c r="J202" s="45"/>
      <c r="K202" s="45"/>
      <c r="L202" s="45"/>
      <c r="M202" s="42">
        <f>+IF(AND(B202&gt;=Z202,B202&lt;=AB202),AA202,0)+IF(AND(B202&gt;AB202,B202&lt;=AD202),AC202,0)+IF(AND(B202&gt;AD202,B202&lt;=AF202),AE202,0)+IF(AND(B202&gt;AF202,B202&lt;=AH202),AG202,0)+IF(B202&gt;AH202,AI202)</f>
        <v>0</v>
      </c>
      <c r="N202" s="21"/>
      <c r="O202" s="35"/>
      <c r="P202" s="136" t="str">
        <f>+Z202*100&amp;"-"&amp;AB202*100</f>
        <v>5-20</v>
      </c>
      <c r="Q202" s="129" t="str">
        <f>+"&gt;"&amp;AB202*100&amp;"-"&amp;AD202*100</f>
        <v>&gt;20-45</v>
      </c>
      <c r="R202" s="129" t="str">
        <f>+"&gt;"&amp;AD202*100&amp;"-"&amp;AF202*100</f>
        <v>&gt;45-60</v>
      </c>
      <c r="S202" s="129" t="str">
        <f>+"&gt;"&amp;AF202*100&amp;"-"&amp;AH202*100</f>
        <v>&gt;60-75</v>
      </c>
      <c r="T202" s="129" t="str">
        <f>+"&gt;"&amp;AH202*100</f>
        <v>&gt;75</v>
      </c>
      <c r="U202" s="132"/>
      <c r="V202" s="131" t="s">
        <v>67</v>
      </c>
      <c r="W202" s="45"/>
      <c r="X202" s="43"/>
      <c r="Y202" s="43"/>
      <c r="Z202" s="44">
        <v>0.05</v>
      </c>
      <c r="AA202" s="67">
        <v>0.5</v>
      </c>
      <c r="AB202" s="44">
        <v>0.2</v>
      </c>
      <c r="AC202" s="67">
        <v>1</v>
      </c>
      <c r="AD202" s="44">
        <v>0.45</v>
      </c>
      <c r="AE202" s="67">
        <v>1.5</v>
      </c>
      <c r="AF202" s="44">
        <v>0.6</v>
      </c>
      <c r="AG202" s="67">
        <v>2</v>
      </c>
      <c r="AH202" s="44">
        <v>0.75</v>
      </c>
      <c r="AI202" s="69">
        <v>2.5</v>
      </c>
      <c r="AJ202" s="23"/>
      <c r="AK202" s="69"/>
    </row>
    <row r="203" spans="1:37" s="8" customFormat="1" ht="16.5" hidden="1" outlineLevel="1">
      <c r="A203" s="81">
        <v>16.4</v>
      </c>
      <c r="B203" s="1">
        <v>0</v>
      </c>
      <c r="C203" s="45" t="s">
        <v>180</v>
      </c>
      <c r="E203" s="45"/>
      <c r="F203" s="45"/>
      <c r="G203" s="45"/>
      <c r="H203" s="45"/>
      <c r="I203" s="45"/>
      <c r="J203" s="45"/>
      <c r="K203" s="45"/>
      <c r="L203" s="45"/>
      <c r="M203" s="42">
        <f>+IF(B203&gt;AH203,AI203,IF(B203&gt;AF203,AG203,IF(B203&gt;AD203,AE203,IF(B203&gt;AB203,AC203,IF(B203&gt;=Z203,AA203,0)))))</f>
        <v>0</v>
      </c>
      <c r="N203" s="21"/>
      <c r="O203" s="35"/>
      <c r="P203" s="136" t="str">
        <f>+Z203*100&amp;"-"&amp;AB203*100</f>
        <v>5-20</v>
      </c>
      <c r="Q203" s="129" t="str">
        <f>+"&gt;"&amp;AB203*100&amp;"-"&amp;AD203*100</f>
        <v>&gt;20-45</v>
      </c>
      <c r="R203" s="129" t="str">
        <f>+"&gt;"&amp;AD203*100&amp;"-"&amp;AF203*100</f>
        <v>&gt;45-60</v>
      </c>
      <c r="S203" s="129" t="str">
        <f>+"&gt;"&amp;AF203*100&amp;"-"&amp;AH203*100</f>
        <v>&gt;60-75</v>
      </c>
      <c r="T203" s="129" t="str">
        <f>+"&gt;"&amp;AH203*100</f>
        <v>&gt;75</v>
      </c>
      <c r="U203" s="132"/>
      <c r="V203" s="131" t="s">
        <v>67</v>
      </c>
      <c r="W203" s="45"/>
      <c r="X203" s="43"/>
      <c r="Y203" s="43"/>
      <c r="Z203" s="44">
        <v>0.05</v>
      </c>
      <c r="AA203" s="67">
        <v>0.5</v>
      </c>
      <c r="AB203" s="44">
        <v>0.2</v>
      </c>
      <c r="AC203" s="67">
        <v>1</v>
      </c>
      <c r="AD203" s="44">
        <v>0.45</v>
      </c>
      <c r="AE203" s="67">
        <v>1.5</v>
      </c>
      <c r="AF203" s="44">
        <v>0.6</v>
      </c>
      <c r="AG203" s="67">
        <v>2</v>
      </c>
      <c r="AH203" s="44">
        <v>0.75</v>
      </c>
      <c r="AI203" s="69">
        <v>2.5</v>
      </c>
      <c r="AJ203" s="23"/>
      <c r="AK203" s="69"/>
    </row>
    <row r="204" spans="1:37" s="29" customFormat="1" ht="6" customHeight="1" collapsed="1">
      <c r="A204" s="81"/>
      <c r="D204" s="38"/>
      <c r="E204" s="38"/>
      <c r="F204" s="38"/>
      <c r="G204" s="38"/>
      <c r="H204" s="38"/>
      <c r="L204" s="38"/>
      <c r="M204" s="30"/>
      <c r="N204" s="30"/>
      <c r="P204" s="129"/>
      <c r="Q204" s="129"/>
      <c r="R204" s="129"/>
      <c r="S204" s="129"/>
      <c r="T204" s="129"/>
      <c r="U204" s="129"/>
      <c r="V204" s="130"/>
      <c r="W204" s="46"/>
      <c r="X204" s="11"/>
      <c r="Y204" s="11"/>
      <c r="Z204" s="2"/>
      <c r="AA204" s="4"/>
      <c r="AB204" s="2"/>
      <c r="AC204" s="4"/>
      <c r="AD204" s="2"/>
      <c r="AE204" s="4"/>
      <c r="AF204" s="2"/>
      <c r="AG204" s="4"/>
      <c r="AH204" s="2"/>
      <c r="AI204" s="4"/>
      <c r="AJ204" s="2"/>
      <c r="AK204" s="4"/>
    </row>
    <row r="205" spans="1:37" s="40" customFormat="1" ht="25.5" customHeight="1">
      <c r="A205" s="39" t="s">
        <v>91</v>
      </c>
      <c r="E205" s="53"/>
      <c r="F205" s="53"/>
      <c r="G205" s="53"/>
      <c r="H205" s="53"/>
      <c r="L205" s="53"/>
      <c r="N205" s="94" t="e">
        <f>+SUM(N199:N204)</f>
        <v>#REF!</v>
      </c>
      <c r="O205" s="108">
        <f>+SUM(M194:M204)</f>
        <v>0</v>
      </c>
      <c r="P205" s="98"/>
      <c r="Q205" s="98"/>
      <c r="R205" s="98"/>
      <c r="S205" s="98"/>
      <c r="T205" s="98"/>
      <c r="U205" s="98"/>
      <c r="V205" s="103"/>
      <c r="X205" s="11"/>
      <c r="Y205" s="11"/>
      <c r="Z205" s="2"/>
      <c r="AA205" s="4"/>
      <c r="AB205" s="2"/>
      <c r="AC205" s="4"/>
      <c r="AD205" s="2"/>
      <c r="AE205" s="4"/>
      <c r="AF205" s="2"/>
      <c r="AG205" s="4"/>
      <c r="AH205" s="2"/>
      <c r="AI205" s="4"/>
      <c r="AJ205" s="2"/>
      <c r="AK205" s="4"/>
    </row>
    <row r="206" spans="1:37" s="29" customFormat="1" ht="6" customHeight="1">
      <c r="A206" s="81"/>
      <c r="D206" s="38"/>
      <c r="E206" s="38"/>
      <c r="F206" s="38"/>
      <c r="G206" s="38"/>
      <c r="H206" s="38"/>
      <c r="L206" s="38"/>
      <c r="M206" s="30"/>
      <c r="N206" s="30"/>
      <c r="P206" s="30"/>
      <c r="Q206" s="30"/>
      <c r="R206" s="30"/>
      <c r="S206" s="30"/>
      <c r="T206" s="30"/>
      <c r="U206" s="30"/>
      <c r="V206" s="46"/>
      <c r="W206" s="46"/>
      <c r="X206" s="11"/>
      <c r="Y206" s="11"/>
      <c r="Z206" s="2"/>
      <c r="AA206" s="4"/>
      <c r="AB206" s="2"/>
      <c r="AC206" s="4"/>
      <c r="AD206" s="2"/>
      <c r="AE206" s="4"/>
      <c r="AF206" s="2"/>
      <c r="AG206" s="4"/>
      <c r="AH206" s="2"/>
      <c r="AI206" s="4"/>
      <c r="AJ206" s="2"/>
      <c r="AK206" s="4"/>
    </row>
    <row r="207" spans="1:37" s="113" customFormat="1" ht="25.5" customHeight="1">
      <c r="A207" s="114" t="s">
        <v>4</v>
      </c>
      <c r="B207" s="177"/>
      <c r="C207" s="177"/>
      <c r="D207" s="178">
        <f>+O188+O169+O138+O106+O205</f>
        <v>1</v>
      </c>
      <c r="E207" s="114" t="s">
        <v>216</v>
      </c>
      <c r="F207" s="114"/>
      <c r="G207" s="114"/>
      <c r="H207" s="114"/>
      <c r="I207" s="177"/>
      <c r="J207" s="177"/>
      <c r="K207" s="178">
        <f>O190</f>
        <v>1</v>
      </c>
      <c r="L207" s="120"/>
      <c r="N207" s="115" t="s">
        <v>6</v>
      </c>
      <c r="P207" s="121"/>
      <c r="R207" s="121"/>
      <c r="S207" s="121"/>
      <c r="T207" s="121"/>
      <c r="U207" s="121"/>
      <c r="V207" s="179" t="s">
        <v>217</v>
      </c>
      <c r="X207" s="11"/>
      <c r="Y207" s="11"/>
      <c r="Z207" s="2"/>
      <c r="AA207" s="4"/>
      <c r="AB207" s="2"/>
      <c r="AC207" s="4"/>
      <c r="AD207" s="2"/>
      <c r="AE207" s="4"/>
      <c r="AF207" s="2"/>
      <c r="AG207" s="4"/>
      <c r="AH207" s="2"/>
      <c r="AI207" s="4"/>
      <c r="AJ207" s="2"/>
      <c r="AK207" s="4"/>
    </row>
    <row r="208" spans="4:37" s="8" customFormat="1" ht="13.5" customHeight="1" hidden="1">
      <c r="D208" s="45"/>
      <c r="E208" s="45"/>
      <c r="F208" s="45"/>
      <c r="G208" s="45"/>
      <c r="H208" s="45"/>
      <c r="I208" s="45"/>
      <c r="J208" s="45"/>
      <c r="K208" s="45"/>
      <c r="L208" s="45"/>
      <c r="M208" s="59"/>
      <c r="N208" s="59"/>
      <c r="P208" s="99"/>
      <c r="Q208" s="99"/>
      <c r="R208" s="99"/>
      <c r="S208" s="99"/>
      <c r="T208" s="99"/>
      <c r="U208" s="99"/>
      <c r="V208" s="59"/>
      <c r="W208" s="59"/>
      <c r="X208" s="60"/>
      <c r="Y208" s="60"/>
      <c r="Z208" s="10"/>
      <c r="AA208" s="67"/>
      <c r="AB208" s="10"/>
      <c r="AC208" s="67"/>
      <c r="AD208" s="10"/>
      <c r="AE208" s="67"/>
      <c r="AF208" s="10"/>
      <c r="AG208" s="67"/>
      <c r="AH208" s="10"/>
      <c r="AI208" s="67"/>
      <c r="AJ208" s="10"/>
      <c r="AK208" s="67"/>
    </row>
    <row r="209" spans="4:37" s="8" customFormat="1" ht="13.5" customHeight="1" hidden="1">
      <c r="D209" s="45"/>
      <c r="E209" s="45"/>
      <c r="F209" s="45"/>
      <c r="G209" s="45"/>
      <c r="H209" s="45"/>
      <c r="I209" s="45"/>
      <c r="J209" s="45"/>
      <c r="K209" s="45"/>
      <c r="L209" s="45"/>
      <c r="M209" s="61" t="str">
        <f>+IF(D207&gt;=34,"Klasse 3",+IF(D207&gt;=28,"Klasse 2",+IF(D207&gt;=23,"Klasse 1","nicht wildtierfreundlich")))</f>
        <v>nicht wildtierfreundlich</v>
      </c>
      <c r="N209" s="59"/>
      <c r="P209" s="99"/>
      <c r="Q209" s="99"/>
      <c r="R209" s="99"/>
      <c r="S209" s="99"/>
      <c r="T209" s="99"/>
      <c r="U209" s="99"/>
      <c r="V209" s="59"/>
      <c r="W209" s="59"/>
      <c r="X209" s="60"/>
      <c r="Y209" s="60"/>
      <c r="Z209" s="10"/>
      <c r="AA209" s="67"/>
      <c r="AB209" s="10"/>
      <c r="AC209" s="67"/>
      <c r="AD209" s="10"/>
      <c r="AE209" s="67"/>
      <c r="AF209" s="10"/>
      <c r="AG209" s="67"/>
      <c r="AH209" s="10"/>
      <c r="AI209" s="67"/>
      <c r="AJ209" s="10"/>
      <c r="AK209" s="67"/>
    </row>
    <row r="210" spans="4:37" s="8" customFormat="1" ht="13.5" customHeight="1" hidden="1">
      <c r="D210" s="45"/>
      <c r="E210" s="45"/>
      <c r="F210" s="45"/>
      <c r="G210" s="45"/>
      <c r="H210" s="45"/>
      <c r="I210" s="45"/>
      <c r="J210" s="45"/>
      <c r="K210" s="45"/>
      <c r="L210" s="45"/>
      <c r="M210" s="61" t="str">
        <f>+IF(D207&gt;=34,M214,+IF(D207&gt;=28,M213,+IF(D207&gt;=23,M212,"kein Beitrag")))&amp;" Fr./ha"</f>
        <v>kein Beitrag Fr./ha</v>
      </c>
      <c r="N210" s="59"/>
      <c r="P210" s="99"/>
      <c r="Q210" s="99"/>
      <c r="R210" s="99"/>
      <c r="S210" s="99"/>
      <c r="T210" s="99"/>
      <c r="U210" s="99"/>
      <c r="V210" s="59"/>
      <c r="W210" s="59"/>
      <c r="X210" s="60"/>
      <c r="Y210" s="60"/>
      <c r="Z210" s="10"/>
      <c r="AA210" s="67"/>
      <c r="AB210" s="10"/>
      <c r="AC210" s="67"/>
      <c r="AD210" s="10"/>
      <c r="AE210" s="67"/>
      <c r="AF210" s="10"/>
      <c r="AG210" s="67"/>
      <c r="AH210" s="10"/>
      <c r="AI210" s="67"/>
      <c r="AJ210" s="10"/>
      <c r="AK210" s="67"/>
    </row>
    <row r="211" spans="13:37" s="8" customFormat="1" ht="13.5" customHeight="1" hidden="1">
      <c r="M211" s="35"/>
      <c r="N211" s="35"/>
      <c r="P211" s="5"/>
      <c r="Q211" s="5"/>
      <c r="R211" s="5"/>
      <c r="S211" s="5"/>
      <c r="T211" s="5"/>
      <c r="U211" s="5"/>
      <c r="V211" s="35"/>
      <c r="W211" s="46"/>
      <c r="X211" s="36"/>
      <c r="Y211" s="36"/>
      <c r="Z211" s="10"/>
      <c r="AA211" s="67"/>
      <c r="AB211" s="10"/>
      <c r="AC211" s="67"/>
      <c r="AD211" s="10"/>
      <c r="AE211" s="67"/>
      <c r="AF211" s="10"/>
      <c r="AG211" s="67"/>
      <c r="AH211" s="10"/>
      <c r="AI211" s="67"/>
      <c r="AJ211" s="10"/>
      <c r="AK211" s="67"/>
    </row>
    <row r="212" spans="9:37" s="8" customFormat="1" ht="13.5" customHeight="1" hidden="1">
      <c r="I212" s="3" t="s">
        <v>7</v>
      </c>
      <c r="J212" s="3"/>
      <c r="K212" s="3"/>
      <c r="M212" s="5">
        <v>10</v>
      </c>
      <c r="N212" s="35"/>
      <c r="P212" s="5"/>
      <c r="Q212" s="5"/>
      <c r="R212" s="5"/>
      <c r="S212" s="5"/>
      <c r="T212" s="5"/>
      <c r="U212" s="5"/>
      <c r="V212" s="35"/>
      <c r="W212" s="46"/>
      <c r="X212" s="36"/>
      <c r="Y212" s="36"/>
      <c r="Z212" s="10"/>
      <c r="AA212" s="67"/>
      <c r="AB212" s="10"/>
      <c r="AC212" s="67"/>
      <c r="AD212" s="10"/>
      <c r="AE212" s="67"/>
      <c r="AF212" s="10"/>
      <c r="AG212" s="67"/>
      <c r="AH212" s="10"/>
      <c r="AI212" s="67"/>
      <c r="AJ212" s="10"/>
      <c r="AK212" s="67"/>
    </row>
    <row r="213" spans="9:37" s="8" customFormat="1" ht="13.5" customHeight="1" hidden="1">
      <c r="I213" s="3" t="s">
        <v>8</v>
      </c>
      <c r="J213" s="3"/>
      <c r="K213" s="3"/>
      <c r="M213" s="5">
        <v>20</v>
      </c>
      <c r="N213" s="35"/>
      <c r="P213" s="5"/>
      <c r="Q213" s="5"/>
      <c r="R213" s="5"/>
      <c r="S213" s="5"/>
      <c r="T213" s="5"/>
      <c r="U213" s="5"/>
      <c r="V213" s="35"/>
      <c r="W213" s="46"/>
      <c r="X213" s="36"/>
      <c r="Y213" s="36"/>
      <c r="Z213" s="10"/>
      <c r="AA213" s="67"/>
      <c r="AB213" s="10"/>
      <c r="AC213" s="67"/>
      <c r="AD213" s="10"/>
      <c r="AE213" s="67"/>
      <c r="AF213" s="10"/>
      <c r="AG213" s="67"/>
      <c r="AH213" s="10"/>
      <c r="AI213" s="67"/>
      <c r="AJ213" s="10"/>
      <c r="AK213" s="67"/>
    </row>
    <row r="214" spans="9:37" s="8" customFormat="1" ht="13.5" customHeight="1" hidden="1">
      <c r="I214" s="3" t="s">
        <v>9</v>
      </c>
      <c r="J214" s="3"/>
      <c r="K214" s="3"/>
      <c r="M214" s="5">
        <v>30</v>
      </c>
      <c r="N214" s="35"/>
      <c r="P214" s="5"/>
      <c r="Q214" s="5"/>
      <c r="R214" s="5"/>
      <c r="S214" s="5"/>
      <c r="T214" s="5"/>
      <c r="U214" s="5"/>
      <c r="V214" s="35"/>
      <c r="W214" s="46"/>
      <c r="X214" s="36"/>
      <c r="Y214" s="36"/>
      <c r="Z214" s="10"/>
      <c r="AA214" s="67"/>
      <c r="AB214" s="10"/>
      <c r="AC214" s="67"/>
      <c r="AD214" s="10"/>
      <c r="AE214" s="67"/>
      <c r="AF214" s="10"/>
      <c r="AG214" s="67"/>
      <c r="AH214" s="10"/>
      <c r="AI214" s="67"/>
      <c r="AJ214" s="10"/>
      <c r="AK214" s="67"/>
    </row>
    <row r="215" spans="19:21" ht="6" customHeight="1">
      <c r="S215" s="3"/>
      <c r="T215" s="3"/>
      <c r="U215" s="3"/>
    </row>
    <row r="216" spans="1:23" ht="16.5">
      <c r="A216" s="3" t="s">
        <v>207</v>
      </c>
      <c r="B216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4"/>
      <c r="N216" s="164"/>
      <c r="O216" s="165"/>
      <c r="P216" s="164"/>
      <c r="Q216" s="164"/>
      <c r="R216" s="164"/>
      <c r="S216" s="164"/>
      <c r="T216" s="164"/>
      <c r="U216" s="164"/>
      <c r="V216" s="166"/>
      <c r="W216" s="8"/>
    </row>
    <row r="217" spans="2:23" ht="16.5">
      <c r="B217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4"/>
      <c r="N217" s="164"/>
      <c r="O217" s="165"/>
      <c r="P217" s="164"/>
      <c r="Q217" s="164"/>
      <c r="R217" s="164"/>
      <c r="S217" s="164"/>
      <c r="T217" s="164"/>
      <c r="U217" s="164"/>
      <c r="V217" s="166"/>
      <c r="W217" s="8"/>
    </row>
    <row r="218" spans="15:23" ht="6.75" customHeight="1">
      <c r="O218" s="167"/>
      <c r="W218" s="8"/>
    </row>
    <row r="219" spans="1:22" ht="16.5">
      <c r="A219" s="62" t="s">
        <v>215</v>
      </c>
      <c r="V219" s="63" t="s">
        <v>222</v>
      </c>
    </row>
  </sheetData>
  <sheetProtection password="CCCA" sheet="1" objects="1" scenarios="1"/>
  <mergeCells count="12">
    <mergeCell ref="R21:V21"/>
    <mergeCell ref="R23:V23"/>
    <mergeCell ref="C15:H15"/>
    <mergeCell ref="C19:H19"/>
    <mergeCell ref="C20:H20"/>
    <mergeCell ref="R19:S19"/>
    <mergeCell ref="D88:O88"/>
    <mergeCell ref="D89:K89"/>
    <mergeCell ref="C21:H21"/>
    <mergeCell ref="D17:H17"/>
    <mergeCell ref="B72:F72"/>
    <mergeCell ref="C87:O87"/>
  </mergeCells>
  <dataValidations count="61">
    <dataValidation type="decimal" operator="lessThanOrEqual" allowBlank="1" showInputMessage="1" showErrorMessage="1" errorTitle="ungültiger Wert" error="Fläche muss kleiner sein als intensiv genutztes Grünland!" sqref="B156">
      <formula1>B155</formula1>
    </dataValidation>
    <dataValidation type="decimal" operator="lessThanOrEqual" allowBlank="1" showInputMessage="1" showErrorMessage="1" errorTitle="ungültiger Wert" error="Fläche muss kleiner sein als intensiv genutztes Grünland!" sqref="B158">
      <formula1>B155</formula1>
    </dataValidation>
    <dataValidation type="decimal" operator="lessThanOrEqual" allowBlank="1" showInputMessage="1" showErrorMessage="1" errorTitle="ungültiger Wert" error="Fläche darf nicht grösser als LN abzüglich Dauergrünland sein!" sqref="B15">
      <formula1>B13-B16-B14</formula1>
    </dataValidation>
    <dataValidation type="decimal" operator="lessThanOrEqual" allowBlank="1" showInputMessage="1" showErrorMessage="1" errorTitle="ungültiger Wert" error="Fläche darf nicht grösser als LN abzüglich Dauergrünland und offener Ackerfläche sein!" sqref="B16">
      <formula1>B13-B15-B14</formula1>
    </dataValidation>
    <dataValidation type="decimal" operator="lessThanOrEqual" allowBlank="1" showInputMessage="1" showErrorMessage="1" errorTitle="ungültiger Wert" error="Fläche darf höchstens so gross sein wie die Fläche von ext. Wiese, wenig int. Wiese und Streueflächen!" sqref="B143">
      <formula1>SUM(E49:G50)+E57+G57</formula1>
    </dataValidation>
    <dataValidation type="decimal" operator="lessThanOrEqual" allowBlank="1" showInputMessage="1" showErrorMessage="1" errorTitle="ungültiger Wert" error="Fläche darf höchstens so gross sein wie die Fläche von ext. Wiese, wenig int. Wiese und Streueflächen!" sqref="B145">
      <formula1>SUM(E49:G50)+E57+G57</formula1>
    </dataValidation>
    <dataValidation type="decimal" operator="lessThanOrEqual" allowBlank="1" showInputMessage="1" showErrorMessage="1" errorTitle="falscher Wert" error="Wert darf höchsten so gross sein wie Dauergrünland+Streueflächen" sqref="H49:H51 L49:L51">
      <formula1>G18</formula1>
    </dataValidation>
    <dataValidation type="decimal" operator="lessThanOrEqual" allowBlank="1" showInputMessage="1" showErrorMessage="1" errorTitle="ungültiger Wert" error="Fläche darf höchstens so gross sein wie die Fläche von ext. Wiese, wenig int. Wiese und Streueflächen!" sqref="B147">
      <formula1>SUM(E49:G50)+E57+G57</formula1>
    </dataValidation>
    <dataValidation type="decimal" operator="lessThanOrEqual" allowBlank="1" showInputMessage="1" showErrorMessage="1" errorTitle="falscher Wert" error="Wert darf nicht grösser sein als Dauergrünland + Extensivweide - öAF auf Dauergrünland&#10;&#10;" sqref="B163">
      <formula1>B155</formula1>
    </dataValidation>
    <dataValidation type="decimal" operator="lessThanOrEqual" allowBlank="1" showInputMessage="1" showErrorMessage="1" errorTitle="ungültiger Wert" error="Fläche muss kleiner sein als die Summe der angemeldeten und nicht angemeldeten extensiven Weiden und Waldweiden!" sqref="I51">
      <formula1>E51+G51</formula1>
    </dataValidation>
    <dataValidation type="decimal" operator="lessThanOrEqual" allowBlank="1" showInputMessage="1" showErrorMessage="1" errorTitle="ungültiger Wert" error="Fläche muss kleiner sein als die Summe der angemeldeten und nicht angemeldeten extensiven Wiesen!" sqref="I49">
      <formula1>E49+G49</formula1>
    </dataValidation>
    <dataValidation type="decimal" operator="lessThanOrEqual" allowBlank="1" showInputMessage="1" showErrorMessage="1" errorTitle="ungültiger Wert" error="Fläche muss kleiner sein als die Summe der angemeldeten und nicht angemeldeten wenig intensiven Wiesen!" sqref="I50">
      <formula1>E50+G50</formula1>
    </dataValidation>
    <dataValidation type="decimal" operator="lessThanOrEqual" allowBlank="1" showInputMessage="1" showErrorMessage="1" errorTitle="ungültiger Wert" error="Fläche muss kleiner sein als die Summe der angemeldeten und nicht angemeldeten Hecken und Gehölze!" sqref="I56">
      <formula1>E56+G56</formula1>
    </dataValidation>
    <dataValidation type="decimal" operator="lessThanOrEqual" allowBlank="1" showInputMessage="1" showErrorMessage="1" errorTitle="ungültiger Wert" error="Fläche muss kleiner sein als die Summe der angemeldeten und nicht angemeldeten Streueflächen!" sqref="I57">
      <formula1>E57+G57</formula1>
    </dataValidation>
    <dataValidation type="decimal" operator="lessThanOrEqual" allowBlank="1" showInputMessage="1" showErrorMessage="1" errorTitle="ungültiger Wert" error="Fläche muss kleiner sein als die Summe der angemeldeten und nicht angemeldeten extensiven Wiesen!" sqref="K49">
      <formula1>G49+E49-I49</formula1>
    </dataValidation>
    <dataValidation type="decimal" operator="lessThanOrEqual" allowBlank="1" showInputMessage="1" showErrorMessage="1" errorTitle="ungültiger Wert" error="Fläche muss kleiner sein als die Summe der angemeldeten und nicht angemeldeten wenig intensiven Wiesen!" sqref="K50">
      <formula1>G50+E50-I50</formula1>
    </dataValidation>
    <dataValidation type="decimal" operator="lessThanOrEqual" allowBlank="1" showInputMessage="1" showErrorMessage="1" errorTitle="ungültiger Wert" error="Fläche muss kleiner sein als die Summe der angemeldeten und nicht angemeldeten extensiven Weiden und Waldweiden!" sqref="K51">
      <formula1>G51+E51-I51</formula1>
    </dataValidation>
    <dataValidation type="decimal" operator="lessThanOrEqual" allowBlank="1" showInputMessage="1" showErrorMessage="1" errorTitle="ungültiger Wert" error="Fläche muss kleiner sein als die Summe der angemeldeten und nicht angemeldeten Hecken und Gehölze!" sqref="K56">
      <formula1>G56+E56-I56</formula1>
    </dataValidation>
    <dataValidation type="decimal" operator="lessThanOrEqual" allowBlank="1" showInputMessage="1" showErrorMessage="1" errorTitle="ungültiger Wert" error="Fläche muss kleiner sein als die Summe der angemeldeten und nicht angemeldeten Streueflächen" sqref="K57">
      <formula1>G57+E57-I57</formula1>
    </dataValidation>
    <dataValidation type="decimal" operator="lessThanOrEqual" allowBlank="1" showInputMessage="1" showErrorMessage="1" errorTitle="ungültiger Wert" error="Wert darf nicht grösser als LN sein!" sqref="B14">
      <formula1>B13-B15-B16</formula1>
    </dataValidation>
    <dataValidation type="decimal" operator="lessThanOrEqual" allowBlank="1" showInputMessage="1" showErrorMessage="1" errorTitle="ungültiger Wert" error="Fläche darf nicht grösser als LN sein!" sqref="B20">
      <formula1>B13</formula1>
    </dataValidation>
    <dataValidation type="decimal" operator="lessThanOrEqual" allowBlank="1" showInputMessage="1" showErrorMessage="1" errorTitle="ungültiger Wert" error="Fläche darf nicht grösser als LN sein!" sqref="B21">
      <formula1>B13</formula1>
    </dataValidation>
    <dataValidation type="whole" operator="lessThanOrEqual" allowBlank="1" showInputMessage="1" showErrorMessage="1" errorTitle="ungültiger Wert" error="Anzahl muss kleiner sein als die Summe von angemeldeten und nicht angemeldeten Bäumen!" sqref="I60">
      <formula1>E60+G60</formula1>
    </dataValidation>
    <dataValidation type="decimal" operator="lessThanOrEqual" allowBlank="1" showInputMessage="1" showErrorMessage="1" errorTitle="falscher Wert" error="Wert muss kleiner sein als die Summe der angemeldeten und nicht angemeldeten Buntbrachen" sqref="K52:K55 M52:M54 K59">
      <formula1>E52+G52</formula1>
    </dataValidation>
    <dataValidation type="decimal" operator="lessThanOrEqual" allowBlank="1" showInputMessage="1" showErrorMessage="1" errorTitle="ungültiger Wert" error="Fläche darf nicht grösser sein als Ackerfläche!" sqref="G52:G55">
      <formula1>B14</formula1>
    </dataValidation>
    <dataValidation type="decimal" operator="lessThanOrEqual" allowBlank="1" showInputMessage="1" showErrorMessage="1" errorTitle="ungültiger Wert" error="Fläche darf höchsten so gross sein wie Dauergrünland!" sqref="G51">
      <formula1>B14</formula1>
    </dataValidation>
    <dataValidation type="decimal" operator="lessThanOrEqual" allowBlank="1" showInputMessage="1" showErrorMessage="1" errorTitle="ungültiger Wert" error="Fläche darf höchsten so gross sein wie Dauergrünland!&#10;" sqref="E49">
      <formula1>B14</formula1>
    </dataValidation>
    <dataValidation type="decimal" operator="lessThanOrEqual" allowBlank="1" showInputMessage="1" showErrorMessage="1" errorTitle="ungültiger Wert" error="Fläche darf höchsten so gross sein wie Dauergrünland!&#10;" sqref="G49">
      <formula1>B14</formula1>
    </dataValidation>
    <dataValidation type="decimal" operator="lessThanOrEqual" allowBlank="1" showInputMessage="1" showErrorMessage="1" errorTitle="ungültiger Wert" error="Fläche darf höchsten so gross sein wie Dauergrünland!" sqref="G50">
      <formula1>B14</formula1>
    </dataValidation>
    <dataValidation type="decimal" operator="lessThanOrEqual" allowBlank="1" showInputMessage="1" showErrorMessage="1" errorTitle="ungültiger Wert" error="Fläche darf höchsten so gross sein wie Dauergrünland!&#10;" sqref="E50">
      <formula1>B14</formula1>
    </dataValidation>
    <dataValidation type="decimal" operator="lessThanOrEqual" allowBlank="1" showInputMessage="1" showErrorMessage="1" errorTitle="vungültiger Wert" error="Fläche darf höchsten so gross sein wie Dauergrünland!" sqref="E51">
      <formula1>B14</formula1>
    </dataValidation>
    <dataValidation type="whole" operator="lessThanOrEqual" allowBlank="1" showInputMessage="1" showErrorMessage="1" errorTitle="ungültiger Wert" error="Fläche darf höchsten so gross sein wie Dauergrünland!" sqref="G57">
      <formula1>+B14</formula1>
    </dataValidation>
    <dataValidation type="decimal" operator="lessThanOrEqual" allowBlank="1" showInputMessage="1" showErrorMessage="1" errorTitle="falscher Wert" error="Wert darf höchsten so gross sein wie Dauergrünland+Streueflächen" sqref="F49:F51">
      <formula1>D17</formula1>
    </dataValidation>
    <dataValidation type="decimal" operator="lessThanOrEqual" allowBlank="1" showInputMessage="1" showErrorMessage="1" errorTitle="ungültiger Wert" error="Wert muss kleiner Sein als Viehbesatz!" sqref="B178">
      <formula1>B24</formula1>
    </dataValidation>
    <dataValidation type="decimal" operator="lessThanOrEqual" allowBlank="1" showInputMessage="1" showErrorMessage="1" errorTitle="ungültiger Wert" error="Fläche darf höchsten so gross sein wie Dauergrünland!" sqref="E57">
      <formula1>B14</formula1>
    </dataValidation>
    <dataValidation type="decimal" operator="lessThanOrEqual" allowBlank="1" showInputMessage="1" showErrorMessage="1" errorTitle="ungültiger Wert" error="Fläche muss kleiner sein als die Summe der angemeldeten und nicht angemeldeten extensiven Wiesen!" sqref="M49">
      <formula1>E49+G49</formula1>
    </dataValidation>
    <dataValidation type="decimal" operator="lessThanOrEqual" allowBlank="1" showInputMessage="1" showErrorMessage="1" errorTitle="ungültiger Wert" error="Fläche muss kleiner sein als die Summe der angemeldeten und nicht angemeldeten wenig intensiven Wiesen!" sqref="M50">
      <formula1>E50+G50</formula1>
    </dataValidation>
    <dataValidation type="decimal" operator="lessThanOrEqual" allowBlank="1" showInputMessage="1" showErrorMessage="1" errorTitle="ungültiger Wert" error="Fläche muss kleiner sein als die Summe der angemeldeten und nicht angemeldeten extensiven Weiden und Waldweiden!" sqref="M51">
      <formula1>E51+G51</formula1>
    </dataValidation>
    <dataValidation type="decimal" operator="lessThanOrEqual" allowBlank="1" showInputMessage="1" showErrorMessage="1" errorTitle="ungültiger Wert" error="Fläche muss kleiner sein als die Summe der angemeldeten und nicht angemeldeten Streueflächen!" sqref="M57:M58">
      <formula1>E57+G57</formula1>
    </dataValidation>
    <dataValidation type="decimal" operator="lessThanOrEqual" allowBlank="1" showInputMessage="1" showErrorMessage="1" errorTitle="ungültiger Wert" error="Fläche muss kleiner sein als die Summe der angemeldeten und nicht angemeldeten Hecken und Gehölze!" sqref="M56">
      <formula1>E56+G56</formula1>
    </dataValidation>
    <dataValidation type="decimal" operator="lessThanOrEqual" allowBlank="1" showInputMessage="1" showErrorMessage="1" errorTitle="ungültiger Wert" error="Fläche darf nicht grösser sein als Fläche mit Verzicht auf Herbizide im Ackerbau!" sqref="B132">
      <formula1>B130</formula1>
    </dataValidation>
    <dataValidation type="decimal" operator="lessThanOrEqual" allowBlank="1" showInputMessage="1" showErrorMessage="1" errorTitle="ungültiger Wert" error="Fläche muss kleiner sein als die Summe der angemeldeten und nicht angemeldeten Rebflächen mit  hoher Artenvielfalt!" sqref="I58">
      <formula1>E58+G58</formula1>
    </dataValidation>
    <dataValidation type="decimal" allowBlank="1" showInputMessage="1" showErrorMessage="1" errorTitle="ungültiger Wert" error="Bitte Prozentwert zwischen 0 und 100 einsetzen!" sqref="B195 B201:B203">
      <formula1>0</formula1>
      <formula2>1</formula2>
    </dataValidation>
    <dataValidation type="whole" operator="greaterThan" allowBlank="1" showInputMessage="1" showErrorMessage="1" errorTitle="ungültiger Wert" error="Bitte ganze Zahl eingeben. Diese darf höchstens so gross sein, wie die Anzahl Nutzungsparzellen!" sqref="B83">
      <formula1>-1</formula1>
    </dataValidation>
    <dataValidation type="whole" operator="greaterThanOrEqual" allowBlank="1" showInputMessage="1" showErrorMessage="1" errorTitle="ungültiger Wert" error="Bitte ganze Zahl eingeben!" sqref="B97">
      <formula1>0</formula1>
    </dataValidation>
    <dataValidation operator="lessThanOrEqual" allowBlank="1" showInputMessage="1" showErrorMessage="1" errorTitle="ungültiger Wert" error="der Wert darf höchstens so gross sein wie die Gesamtfläche des ökologischen Ausgleichs" sqref="B173 B176 I75 I63 K63"/>
    <dataValidation operator="lessThanOrEqual" allowBlank="1" showInputMessage="1" showErrorMessage="1" errorTitle="ungültiger Wert" sqref="B174 B161 B149"/>
    <dataValidation type="whole" operator="greaterThanOrEqual" allowBlank="1" showInputMessage="1" showErrorMessage="1" errorTitle="ungültiger Wert" error="bitte ganze Zahl eingeben" sqref="B101">
      <formula1>0</formula1>
    </dataValidation>
    <dataValidation type="decimal" operator="lessThanOrEqual" allowBlank="1" showInputMessage="1" showErrorMessage="1" errorTitle="ungültiger Wert" error="Fläche darf nicht grösser sein als LN!" sqref="B160">
      <formula1>LN</formula1>
    </dataValidation>
    <dataValidation type="whole" operator="greaterThan" showInputMessage="1" showErrorMessage="1" errorTitle="ungültiger Wert" error="Bitte ganze Zahl eingeben. Diese darf höchstens so gross sein, wie die Anzahl Nutzungsparzellen!" sqref="B87">
      <formula1>-1</formula1>
    </dataValidation>
    <dataValidation type="decimal" operator="lessThanOrEqual" allowBlank="1" showInputMessage="1" showErrorMessage="1" errorTitle="ungültiger Wert" error="Fläche darf nicht grösser als LN sein!" sqref="B151 G59 E59">
      <formula1>LN</formula1>
    </dataValidation>
    <dataValidation type="decimal" showInputMessage="1" showErrorMessage="1" errorTitle="ungültiger Wert" error="Maximal 3 Punkte nach Absprache mit Gutachter einsetzen!" sqref="M186">
      <formula1>0</formula1>
      <formula2>3</formula2>
    </dataValidation>
    <dataValidation type="decimal" showInputMessage="1" showErrorMessage="1" errorTitle="ungültiger Wert" error="Maximal 2 Punkte nach Absprache mit Gutachter einsetzen!" sqref="M181">
      <formula1>0</formula1>
      <formula2>2</formula2>
    </dataValidation>
    <dataValidation type="list" allowBlank="1" showInputMessage="1" showErrorMessage="1" errorTitle="ungültiger Wert" error="Bitte &quot;ja&quot; oder &quot;nein&quot; eingeben oder auswählen" sqref="B196:B197 B199">
      <formula1>"ja, nein"</formula1>
    </dataValidation>
    <dataValidation type="decimal" operator="lessThanOrEqual" allowBlank="1" showInputMessage="1" showErrorMessage="1" errorTitle="ungültiger Wert" error="Fläche darf höchstens so gross sein wie die Gesamtfläche des ökologischen Ausgleichs!" sqref="B93">
      <formula1>öAF_ohne_Bäume</formula1>
    </dataValidation>
    <dataValidation type="decimal" operator="lessThanOrEqual" allowBlank="1" showInputMessage="1" showErrorMessage="1" errorTitle="ungültiger Wert" error="Fläche darf nicht grösser sein als offene Ackerfläche!" sqref="B112 B128 B130 B126 B124 B122 B120 B118 B116 B114 E52:E55">
      <formula1>offene_Ackerfläche</formula1>
    </dataValidation>
    <dataValidation type="whole" allowBlank="1" showInputMessage="1" errorTitle="ungültiger Wert" error="Bitte ganze Zahl eingeben!&#10;" sqref="B41">
      <formula1>1</formula1>
      <formula2>99</formula2>
    </dataValidation>
    <dataValidation type="whole" allowBlank="1" showInputMessage="1" showErrorMessage="1" errorTitle="ungültiger Wert" error="Bitte ganze Zahl eingeben!" sqref="E60 G60 B33">
      <formula1>0</formula1>
      <formula2>9999</formula2>
    </dataValidation>
    <dataValidation type="decimal" operator="greaterThan" showInputMessage="1" showErrorMessage="1" sqref="B13">
      <formula1>0</formula1>
    </dataValidation>
    <dataValidation type="decimal" operator="lessThanOrEqual" allowBlank="1" showInputMessage="1" showErrorMessage="1" errorTitle="ungültiger Wert" error="Wert darf nicht grösser als LN sein!" sqref="G56 E56 G58 E58">
      <formula1>LN</formula1>
    </dataValidation>
    <dataValidation type="decimal" operator="lessThanOrEqual" allowBlank="1" showInputMessage="1" showErrorMessage="1" errorTitle="ungültiger Wert" error="Fläche darf höchsten so gross sein wie Total öAF inkl. Bäume (5.13)!" sqref="B79:B80">
      <formula1>öAF_mit_Bäumen</formula1>
    </dataValidation>
  </dataValidations>
  <printOptions horizontalCentered="1" verticalCentered="1"/>
  <pageMargins left="0.4724409448818898" right="0.31496062992125984" top="0.31496062992125984" bottom="0.35433070866141736" header="0" footer="0"/>
  <pageSetup fitToHeight="2" horizontalDpi="600" verticalDpi="600" orientation="portrait" paperSize="9" scale="53" r:id="rId4"/>
  <rowBreaks count="1" manualBreakCount="1">
    <brk id="106" max="2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FiBL und Schweizerische Vogelwarte Sempach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Balmer, Markus Jenny</dc:creator>
  <cp:keywords/>
  <dc:description/>
  <cp:lastModifiedBy>oliver.balmer</cp:lastModifiedBy>
  <cp:lastPrinted>2010-02-11T13:44:11Z</cp:lastPrinted>
  <dcterms:created xsi:type="dcterms:W3CDTF">2007-02-13T14:09:25Z</dcterms:created>
  <dcterms:modified xsi:type="dcterms:W3CDTF">2010-04-14T09:06:15Z</dcterms:modified>
  <cp:category/>
  <cp:version/>
  <cp:contentType/>
  <cp:contentStatus/>
</cp:coreProperties>
</file>